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207400" sheetId="1" state="visible" r:id="rId3"/>
  </sheets>
  <externalReferences>
    <externalReference r:id="rId4"/>
    <externalReference r:id="rId5"/>
  </externalReferences>
  <definedNames>
    <definedName function="false" hidden="false" localSheetId="0" name="_xlnm.Print_Area" vbProcedure="false">'06207400'!$A$1:$O$82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'06207400'!$A$23:$J$84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<sst xmlns="http://schemas.openxmlformats.org/spreadsheetml/2006/main" count="104" uniqueCount="100">
  <si>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</si>
  <si>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</si>
  <si>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</si>
  <si>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</si>
  <si>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</si>
  <si>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Siagne</t>
  </si>
  <si>
    <t xml:space="preserve">St Cézaire</t>
  </si>
  <si>
    <t xml:space="preserve">06207400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</si>
  <si>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</si>
  <si>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</si>
  <si>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</si>
  <si>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</si>
  <si>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</si>
  <si>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</si>
  <si>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</si>
  <si>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</si>
  <si>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CINAQU</t>
  </si>
  <si>
    <t xml:space="preserve">Faciès dominant</t>
  </si>
  <si>
    <t xml:space="preserve">radier</t>
  </si>
  <si>
    <t xml:space="preserve">niv. trophique:</t>
  </si>
  <si>
    <t xml:space="preserve">moyen</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</si>
  <si>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</si>
  <si>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</si>
  <si>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</si>
  <si>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</si>
  <si>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</si>
  <si>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</si>
  <si>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</si>
  <si>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</si>
  <si>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</si>
  <si>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</si>
  <si>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</si>
  <si>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</si>
  <si>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</si>
  <si>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</si>
  <si>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</si>
  <si>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</si>
  <si>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</si>
  <si>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</si>
  <si>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</si>
  <si>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</si>
  <si>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</si>
  <si>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</si>
  <si>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</si>
  <si>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</si>
  <si>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</si>
  <si>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</si>
  <si>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</si>
  <si>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</si>
  <si>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</si>
  <si>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</si>
  <si>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</si>
  <si>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</si>
  <si>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</si>
  <si>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</si>
  <si>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</si>
  <si>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</si>
  <si>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</si>
  <si>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</si>
  <si>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</si>
  <si>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</si>
  <si>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</si>
  <si>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</si>
  <si>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</si>
  <si>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</si>
  <si>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</si>
  <si>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</si>
  <si>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</si>
  <si>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</si>
  <si>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</si>
  <si>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</si>
  <si>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</si>
  <si>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</si>
  <si>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</si>
  <si>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</si>
  <si>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</si>
  <si>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ULOSPX</t>
  </si>
  <si>
    <t xml:space="preserve">CLASPX</t>
  </si>
  <si>
    <t xml:space="preserve">DIASPX</t>
  </si>
  <si>
    <t xml:space="preserve">OEDSPX</t>
  </si>
  <si>
    <t xml:space="preserve">VAUSPX</t>
  </si>
  <si>
    <t xml:space="preserve">MELSPX</t>
  </si>
  <si>
    <t xml:space="preserve">TETSPX</t>
  </si>
  <si>
    <t xml:space="preserve">NOSSPX</t>
  </si>
  <si>
    <t xml:space="preserve">OSCSPX</t>
  </si>
  <si>
    <t xml:space="preserve">FISCRA</t>
  </si>
  <si>
    <t xml:space="preserve">FONANT</t>
  </si>
  <si>
    <t xml:space="preserve">MACPOL</t>
  </si>
  <si>
    <t xml:space="preserve">RHYRIP</t>
  </si>
  <si>
    <t xml:space="preserve">CRACOM</t>
  </si>
  <si>
    <t xml:space="preserve">AGRSTO</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</si>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</sst>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0621045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39655</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10.7631578947368</v>
      </c>
      <c r="M5" s="53"/>
      <c r="N5" s="54" t="s">
        <v>16</v>
      </c>
      <c r="O5" s="55" t="n">
        <v>10.2647058823529</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10.2666666666667</v>
      </c>
      <c r="O8" s="84" t="n">
        <f aca="false">IF(ISERROR(AVERAGE(J23:J82)),"      -",AVERAGE(J23:J82))</f>
        <v>1.33333333333333</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2.9992591677872</v>
      </c>
      <c r="O9" s="84" t="n">
        <f aca="false">IF(ISERROR(STDEVP(J23:J82)),"      -",STDEVP(J23:J82))</f>
        <v>0.471404520791032</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4</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15</v>
      </c>
      <c r="O11" s="106" t="n">
        <f aca="false">MAX(J23:J82)</f>
        <v>2</v>
      </c>
      <c r="P11" s="107"/>
      <c r="Q11" s="10"/>
      <c r="R11" s="10"/>
      <c r="S11" s="10"/>
      <c r="T11" s="10"/>
      <c r="U11" s="10"/>
      <c r="V11" s="10"/>
    </row>
    <row r="12" customFormat="false" ht="12.75" hidden="false" customHeight="false" outlineLevel="0" collapsed="false">
      <c r="A12" s="117" t="s">
        <v>36</v>
      </c>
      <c r="B12" s="118" t="n">
        <v>1.45</v>
      </c>
      <c r="C12" s="119"/>
      <c r="D12" s="111"/>
      <c r="E12" s="111"/>
      <c r="F12" s="112" t="n">
        <f aca="false">($B12*$B$7+$C12*$C$7)/100</f>
        <v>1.45</v>
      </c>
      <c r="G12" s="120"/>
      <c r="H12" s="68"/>
      <c r="I12" s="121" t="s">
        <v>37</v>
      </c>
      <c r="J12" s="121"/>
      <c r="K12" s="115" t="n">
        <f aca="false">COUNTIF($G$23:$G$82,"=ALG")</f>
        <v>9</v>
      </c>
      <c r="L12" s="122"/>
      <c r="M12" s="123"/>
      <c r="N12" s="124" t="s">
        <v>31</v>
      </c>
      <c r="O12" s="125"/>
      <c r="P12" s="126"/>
      <c r="Q12" s="10"/>
      <c r="R12" s="10"/>
      <c r="S12" s="10"/>
      <c r="T12" s="10"/>
      <c r="U12" s="10"/>
      <c r="V12" s="10"/>
    </row>
    <row r="13" customFormat="false" ht="12.75" hidden="false" customHeight="false" outlineLevel="0" collapsed="false">
      <c r="A13" s="117" t="s">
        <v>38</v>
      </c>
      <c r="B13" s="118" t="n">
        <v>1.46</v>
      </c>
      <c r="C13" s="119"/>
      <c r="D13" s="111"/>
      <c r="E13" s="111"/>
      <c r="F13" s="112" t="n">
        <f aca="false">($B13*$B$7+$C13*$C$7)/100</f>
        <v>1.46</v>
      </c>
      <c r="G13" s="120"/>
      <c r="H13" s="68"/>
      <c r="I13" s="121" t="s">
        <v>39</v>
      </c>
      <c r="J13" s="121"/>
      <c r="K13" s="115" t="n">
        <f aca="false">COUNTIF($G$23:$G$82,"=BRm")+COUNTIF($G$23:$G$82,"=BRh")</f>
        <v>6</v>
      </c>
      <c r="L13" s="116"/>
      <c r="M13" s="127" t="s">
        <v>40</v>
      </c>
      <c r="N13" s="128" t="n">
        <f aca="false">COUNTIF(F23:F82,"&gt;0")</f>
        <v>16</v>
      </c>
      <c r="O13" s="129"/>
      <c r="P13" s="130"/>
      <c r="Q13" s="10"/>
      <c r="R13" s="10"/>
      <c r="S13" s="10"/>
      <c r="T13" s="10"/>
      <c r="U13" s="10"/>
      <c r="V13" s="10"/>
    </row>
    <row r="14" customFormat="false" ht="12.75" hidden="false" customHeight="false" outlineLevel="0" collapsed="false">
      <c r="A14" s="117" t="s">
        <v>41</v>
      </c>
      <c r="B14" s="118" t="n">
        <v>0</v>
      </c>
      <c r="C14" s="119"/>
      <c r="D14" s="111"/>
      <c r="E14" s="111"/>
      <c r="F14" s="112" t="n">
        <f aca="false">($B14*$B$7+$C14*$C$7)/100</f>
        <v>0</v>
      </c>
      <c r="G14" s="120"/>
      <c r="H14" s="68"/>
      <c r="I14" s="121" t="s">
        <v>42</v>
      </c>
      <c r="J14" s="121"/>
      <c r="K14" s="115" t="n">
        <f aca="false">COUNTIF($G$23:$G$82,"=PTE")+COUNTIF($G$23:$G$82,"=LIC")</f>
        <v>0</v>
      </c>
      <c r="L14" s="116"/>
      <c r="M14" s="131" t="s">
        <v>43</v>
      </c>
      <c r="N14" s="132" t="n">
        <f aca="false">COUNTIF($I$23:$I$82,"&gt;-1")</f>
        <v>15</v>
      </c>
      <c r="O14" s="133"/>
      <c r="P14" s="130"/>
      <c r="Q14" s="10"/>
      <c r="R14" s="10"/>
      <c r="S14" s="10"/>
      <c r="T14" s="10"/>
      <c r="U14" s="10"/>
      <c r="V14" s="10"/>
    </row>
    <row r="15" customFormat="false" ht="12.75" hidden="false" customHeight="false" outlineLevel="0" collapsed="false">
      <c r="A15" s="134" t="s">
        <v>44</v>
      </c>
      <c r="B15" s="135" t="n">
        <v>0.02</v>
      </c>
      <c r="C15" s="136"/>
      <c r="D15" s="111"/>
      <c r="E15" s="111"/>
      <c r="F15" s="112" t="n">
        <f aca="false">($B15*$B$7+$C15*$C$7)/100</f>
        <v>0.02</v>
      </c>
      <c r="G15" s="120"/>
      <c r="H15" s="68"/>
      <c r="I15" s="121" t="s">
        <v>45</v>
      </c>
      <c r="J15" s="121"/>
      <c r="K15" s="115" t="n">
        <f aca="false">(COUNTIF($G$23:$G$82,"=PHy"))+(COUNTIF($G$23:$G$82,"=PHe"))+(COUNTIF($G$23:$G$82,"=PHg"))+(COUNTIF($G$23:$G$82,"=PHx"))</f>
        <v>1</v>
      </c>
      <c r="L15" s="116"/>
      <c r="M15" s="137" t="s">
        <v>46</v>
      </c>
      <c r="N15" s="138" t="n">
        <f aca="false">COUNTIF(J23:J82,"=1")</f>
        <v>10</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5</v>
      </c>
      <c r="O16" s="139"/>
      <c r="P16" s="130"/>
      <c r="Q16" s="10"/>
      <c r="R16" s="10"/>
      <c r="S16" s="10"/>
      <c r="T16" s="10"/>
      <c r="U16" s="10"/>
      <c r="V16" s="10"/>
    </row>
    <row r="17" customFormat="false" ht="12.75" hidden="false" customHeight="false" outlineLevel="0" collapsed="false">
      <c r="A17" s="117" t="s">
        <v>49</v>
      </c>
      <c r="B17" s="118" t="n">
        <v>2.91</v>
      </c>
      <c r="C17" s="119"/>
      <c r="D17" s="111"/>
      <c r="E17" s="111"/>
      <c r="F17" s="143"/>
      <c r="G17" s="112" t="n">
        <f aca="false">($B17*$B$7+$C17*$C$7)/100</f>
        <v>2.91</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0.02</v>
      </c>
      <c r="C18" s="146"/>
      <c r="D18" s="111"/>
      <c r="E18" s="147" t="s">
        <v>52</v>
      </c>
      <c r="F18" s="143"/>
      <c r="G18" s="112" t="n">
        <f aca="false">($B18*$B$7+$C18*$C$7)/100</f>
        <v>0.02</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2.93</v>
      </c>
      <c r="G19" s="156" t="n">
        <f aca="false">SUM(G16:G18)</f>
        <v>2.93</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2.92</v>
      </c>
      <c r="C20" s="166" t="n">
        <f aca="false">SUM(C23:C82)</f>
        <v>0</v>
      </c>
      <c r="D20" s="167"/>
      <c r="E20" s="168" t="s">
        <v>52</v>
      </c>
      <c r="F20" s="169" t="n">
        <f aca="false">($B20*$B$7+$C20*$C$7)/100</f>
        <v>2.92</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2.92</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2.92</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0.16</v>
      </c>
      <c r="C23" s="206"/>
      <c r="D23" s="207" t="str">
        <f aca="false">IF(ISERROR(VLOOKUP($A23,'[1]liste reference'!$A$7:$D$904,2,0)),IF(ISERROR(VLOOKUP($A23,'[1]liste reference'!$B$7:$D$904,1,0)),"",VLOOKUP($A23,'[1]liste reference'!$B$7:$D$904,1,0)),VLOOKUP($A23,'[1]liste reference'!$A$7:$D$904,2,0))</f>
        <v>Ulothrix sp.</v>
      </c>
      <c r="E23" s="207" t="e">
        <f aca="false">IF(D23="",0,VLOOKUP(D23,D$22:D22,1,0))</f>
        <v>#N/A</v>
      </c>
      <c r="F23" s="208" t="n">
        <f aca="false">($B23*$B$7+$C23*$C$7)/100</f>
        <v>0.16</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10</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Ulothrix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1142</v>
      </c>
      <c r="Q23" s="216" t="n">
        <f aca="false">IF(ISTEXT(H23),"",(B23*$B$7/100)+(C23*$C$7/100))</f>
        <v>0.16</v>
      </c>
      <c r="R23" s="217" t="n">
        <f aca="false">IF(OR(ISTEXT(H23),Q23=0),"",IF(Q23&lt;0.1,1,IF(Q23&lt;1,2,IF(Q23&lt;10,3,IF(Q23&lt;50,4,IF(Q23&gt;=50,5,""))))))</f>
        <v>2</v>
      </c>
      <c r="S23" s="217" t="n">
        <f aca="false">IF(ISERROR(R23*I23),0,R23*I23)</f>
        <v>20</v>
      </c>
      <c r="T23" s="217" t="n">
        <f aca="false">IF(ISERROR(R23*I23*J23),0,R23*I23*J23)</f>
        <v>20</v>
      </c>
      <c r="U23" s="217" t="n">
        <f aca="false">IF(ISERROR(R23*J23),0,R23*J23)</f>
        <v>2</v>
      </c>
      <c r="V23" s="218" t="str">
        <f aca="false">IF(AND(A23="",F23=0),"",IF(F23=0,"Il manque le(s) % de rec. !",""))</f>
        <v/>
      </c>
      <c r="W23" s="219"/>
      <c r="Y23" s="220" t="str">
        <f aca="false">IF(A23="new.cod","NEWCOD",IF(AND((Z23=""),ISTEXT(A23)),A23,IF(Z23="","",INDEX('[1]liste reference'!$A$8:$A$904,Z23))))</f>
        <v>ULOSPX</v>
      </c>
      <c r="Z23" s="10" t="n">
        <f aca="false">IF(ISERROR(MATCH(A23,'[1]liste reference'!$A$8:$A$904,0)),IF(ISERROR(MATCH(A23,'[1]liste reference'!$B$8:$B$904,0)),"",(MATCH(A23,'[1]liste reference'!$B$8:$B$904,0))),(MATCH(A23,'[1]liste reference'!$A$8:$A$904,0)))</f>
        <v>81</v>
      </c>
      <c r="AA23" s="221"/>
      <c r="AB23" s="222"/>
      <c r="AC23" s="222"/>
      <c r="BB23" s="10" t="n">
        <f aca="false">IF(A23="","",1)</f>
        <v>1</v>
      </c>
    </row>
    <row r="24" customFormat="false" ht="12.75" hidden="false" customHeight="false" outlineLevel="0" collapsed="false">
      <c r="A24" s="223" t="s">
        <v>77</v>
      </c>
      <c r="B24" s="224" t="n">
        <v>0.16</v>
      </c>
      <c r="C24" s="225"/>
      <c r="D24" s="207" t="str">
        <f aca="false">IF(ISERROR(VLOOKUP($A24,'[1]liste reference'!$A$7:$D$904,2,0)),IF(ISERROR(VLOOKUP($A24,'[1]liste reference'!$B$7:$D$904,1,0)),"",VLOOKUP($A24,'[1]liste reference'!$B$7:$D$904,1,0)),VLOOKUP($A24,'[1]liste reference'!$A$7:$D$904,2,0))</f>
        <v>Cladophora sp.</v>
      </c>
      <c r="E24" s="226" t="e">
        <f aca="false">IF(D24="",0,VLOOKUP(D24,D$22:D23,1,0))</f>
        <v>#N/A</v>
      </c>
      <c r="F24" s="227" t="n">
        <f aca="false">($B24*$B$7+$C24*$C$7)/100</f>
        <v>0.16</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6</v>
      </c>
      <c r="J24" s="211" t="n">
        <f aca="false">IF(ISNUMBER(H24),IF(ISERROR(VLOOKUP($A24,'[1]liste reference'!$A$7:$P$904,4,0)),IF(ISERROR(VLOOKUP($A24,'[1]liste reference'!$B$7:$P$904,3,0)),"",VLOOKUP($A24,'[1]liste reference'!$B$7:$P$904,3,0)),VLOOKUP($A24,'[1]liste reference'!$A$7:$P$904,4,0)),"")</f>
        <v>1</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Cladophora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1124</v>
      </c>
      <c r="Q24" s="216" t="n">
        <f aca="false">IF(ISTEXT(H24),"",(B24*$B$7/100)+(C24*$C$7/100))</f>
        <v>0.16</v>
      </c>
      <c r="R24" s="217" t="n">
        <f aca="false">IF(OR(ISTEXT(H24),Q24=0),"",IF(Q24&lt;0.1,1,IF(Q24&lt;1,2,IF(Q24&lt;10,3,IF(Q24&lt;50,4,IF(Q24&gt;=50,5,""))))))</f>
        <v>2</v>
      </c>
      <c r="S24" s="217" t="n">
        <f aca="false">IF(ISERROR(R24*I24),0,R24*I24)</f>
        <v>12</v>
      </c>
      <c r="T24" s="217" t="n">
        <f aca="false">IF(ISERROR(R24*I24*J24),0,R24*I24*J24)</f>
        <v>12</v>
      </c>
      <c r="U24" s="229" t="n">
        <f aca="false">IF(ISERROR(R24*J24),0,R24*J24)</f>
        <v>2</v>
      </c>
      <c r="V24" s="218" t="str">
        <f aca="false">IF(AND(A24="",F24=0),"",IF(F24=0,"Il manque le(s) % de rec. !",""))</f>
        <v/>
      </c>
      <c r="W24" s="219"/>
      <c r="Y24" s="220" t="str">
        <f aca="false">IF(A24="new.cod","NEWCOD",IF(AND((Z24=""),ISTEXT(A24)),A24,IF(Z24="","",INDEX('[1]liste reference'!$A$8:$A$904,Z24))))</f>
        <v>CLASPX</v>
      </c>
      <c r="Z24" s="10" t="n">
        <f aca="false">IF(ISERROR(MATCH(A24,'[1]liste reference'!$A$8:$A$904,0)),IF(ISERROR(MATCH(A24,'[1]liste reference'!$B$8:$B$904,0)),"",(MATCH(A24,'[1]liste reference'!$B$8:$B$904,0))),(MATCH(A24,'[1]liste reference'!$A$8:$A$904,0)))</f>
        <v>23</v>
      </c>
      <c r="AA24" s="221"/>
      <c r="AB24" s="222"/>
      <c r="AC24" s="222"/>
      <c r="BB24" s="10" t="n">
        <f aca="false">IF(A24="","",1)</f>
        <v>1</v>
      </c>
    </row>
    <row r="25" customFormat="false" ht="12.75" hidden="false" customHeight="false" outlineLevel="0" collapsed="false">
      <c r="A25" s="223" t="s">
        <v>78</v>
      </c>
      <c r="B25" s="224" t="n">
        <v>0.16</v>
      </c>
      <c r="C25" s="225"/>
      <c r="D25" s="207" t="str">
        <f aca="false">IF(ISERROR(VLOOKUP($A25,'[1]liste reference'!$A$7:$D$904,2,0)),IF(ISERROR(VLOOKUP($A25,'[1]liste reference'!$B$7:$D$904,1,0)),"",VLOOKUP($A25,'[1]liste reference'!$B$7:$D$904,1,0)),VLOOKUP($A25,'[1]liste reference'!$A$7:$D$904,2,0))</f>
        <v>Diatoma sp.</v>
      </c>
      <c r="E25" s="226" t="e">
        <f aca="false">IF(D25="",0,VLOOKUP(D25,D$22:D24,1,0))</f>
        <v>#N/A</v>
      </c>
      <c r="F25" s="227" t="n">
        <f aca="false">($B25*$B$7+$C25*$C$7)/100</f>
        <v>0.16</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12</v>
      </c>
      <c r="J25" s="211" t="n">
        <f aca="false">IF(ISNUMBER(H25),IF(ISERROR(VLOOKUP($A25,'[1]liste reference'!$A$7:$P$904,4,0)),IF(ISERROR(VLOOKUP($A25,'[1]liste reference'!$B$7:$P$904,3,0)),"",VLOOKUP($A25,'[1]liste reference'!$B$7:$P$904,3,0)),VLOOKUP($A25,'[1]liste reference'!$A$7:$P$904,4,0)),"")</f>
        <v>2</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Diatoma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6627</v>
      </c>
      <c r="Q25" s="216" t="n">
        <f aca="false">IF(ISTEXT(H25),"",(B25*$B$7/100)+(C25*$C$7/100))</f>
        <v>0.16</v>
      </c>
      <c r="R25" s="217" t="n">
        <f aca="false">IF(OR(ISTEXT(H25),Q25=0),"",IF(Q25&lt;0.1,1,IF(Q25&lt;1,2,IF(Q25&lt;10,3,IF(Q25&lt;50,4,IF(Q25&gt;=50,5,""))))))</f>
        <v>2</v>
      </c>
      <c r="S25" s="217" t="n">
        <f aca="false">IF(ISERROR(R25*I25),0,R25*I25)</f>
        <v>24</v>
      </c>
      <c r="T25" s="217" t="n">
        <f aca="false">IF(ISERROR(R25*I25*J25),0,R25*I25*J25)</f>
        <v>48</v>
      </c>
      <c r="U25" s="229" t="n">
        <f aca="false">IF(ISERROR(R25*J25),0,R25*J25)</f>
        <v>4</v>
      </c>
      <c r="V25" s="218" t="str">
        <f aca="false">IF(AND(A25="",F25=0),"",IF(F25=0,"Il manque le(s) % de rec. !",""))</f>
        <v/>
      </c>
      <c r="W25" s="219"/>
      <c r="Y25" s="220" t="str">
        <f aca="false">IF(A25="new.cod","NEWCOD",IF(AND((Z25=""),ISTEXT(A25)),A25,IF(Z25="","",INDEX('[1]liste reference'!$A$8:$A$904,Z25))))</f>
        <v>DIASPX</v>
      </c>
      <c r="Z25" s="10" t="n">
        <f aca="false">IF(ISERROR(MATCH(A25,'[1]liste reference'!$A$8:$A$904,0)),IF(ISERROR(MATCH(A25,'[1]liste reference'!$B$8:$B$904,0)),"",(MATCH(A25,'[1]liste reference'!$B$8:$B$904,0))),(MATCH(A25,'[1]liste reference'!$A$8:$A$904,0)))</f>
        <v>26</v>
      </c>
      <c r="AA25" s="221"/>
      <c r="AB25" s="222"/>
      <c r="AC25" s="222"/>
      <c r="BB25" s="10" t="n">
        <f aca="false">IF(A25="","",1)</f>
        <v>1</v>
      </c>
    </row>
    <row r="26" customFormat="false" ht="12.75" hidden="false" customHeight="false" outlineLevel="0" collapsed="false">
      <c r="A26" s="223" t="s">
        <v>79</v>
      </c>
      <c r="B26" s="224" t="n">
        <v>0.16</v>
      </c>
      <c r="C26" s="225"/>
      <c r="D26" s="207" t="str">
        <f aca="false">IF(ISERROR(VLOOKUP($A26,'[1]liste reference'!$A$7:$D$904,2,0)),IF(ISERROR(VLOOKUP($A26,'[1]liste reference'!$B$7:$D$904,1,0)),"",VLOOKUP($A26,'[1]liste reference'!$B$7:$D$904,1,0)),VLOOKUP($A26,'[1]liste reference'!$A$7:$D$904,2,0))</f>
        <v>Oedogonium sp.</v>
      </c>
      <c r="E26" s="226" t="e">
        <f aca="false">IF(D26="",0,VLOOKUP(D26,D$22:D25,1,0))</f>
        <v>#N/A</v>
      </c>
      <c r="F26" s="227" t="n">
        <f aca="false">($B26*$B$7+$C26*$C$7)/100</f>
        <v>0.16</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6</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Oedogonium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1134</v>
      </c>
      <c r="Q26" s="216" t="n">
        <f aca="false">IF(ISTEXT(H26),"",(B26*$B$7/100)+(C26*$C$7/100))</f>
        <v>0.16</v>
      </c>
      <c r="R26" s="217" t="n">
        <f aca="false">IF(OR(ISTEXT(H26),Q26=0),"",IF(Q26&lt;0.1,1,IF(Q26&lt;1,2,IF(Q26&lt;10,3,IF(Q26&lt;50,4,IF(Q26&gt;=50,5,""))))))</f>
        <v>2</v>
      </c>
      <c r="S26" s="217" t="n">
        <f aca="false">IF(ISERROR(R26*I26),0,R26*I26)</f>
        <v>12</v>
      </c>
      <c r="T26" s="217" t="n">
        <f aca="false">IF(ISERROR(R26*I26*J26),0,R26*I26*J26)</f>
        <v>24</v>
      </c>
      <c r="U26" s="229" t="n">
        <f aca="false">IF(ISERROR(R26*J26),0,R26*J26)</f>
        <v>4</v>
      </c>
      <c r="V26" s="218" t="str">
        <f aca="false">IF(AND(A26="",F26=0),"",IF(F26=0,"Il manque le(s) % de rec. !",""))</f>
        <v/>
      </c>
      <c r="W26" s="219"/>
      <c r="Y26" s="220" t="str">
        <f aca="false">IF(A26="new.cod","NEWCOD",IF(AND((Z26=""),ISTEXT(A26)),A26,IF(Z26="","",INDEX('[1]liste reference'!$A$8:$A$904,Z26))))</f>
        <v>OEDSPX</v>
      </c>
      <c r="Z26" s="10" t="n">
        <f aca="false">IF(ISERROR(MATCH(A26,'[1]liste reference'!$A$8:$A$904,0)),IF(ISERROR(MATCH(A26,'[1]liste reference'!$B$8:$B$904,0)),"",(MATCH(A26,'[1]liste reference'!$B$8:$B$904,0))),(MATCH(A26,'[1]liste reference'!$A$8:$A$904,0)))</f>
        <v>55</v>
      </c>
      <c r="AA26" s="221"/>
      <c r="AB26" s="222"/>
      <c r="AC26" s="222"/>
      <c r="BB26" s="10" t="n">
        <f aca="false">IF(A26="","",1)</f>
        <v>1</v>
      </c>
    </row>
    <row r="27" customFormat="false" ht="12.75" hidden="false" customHeight="false" outlineLevel="0" collapsed="false">
      <c r="A27" s="223" t="s">
        <v>80</v>
      </c>
      <c r="B27" s="224" t="n">
        <v>0.16</v>
      </c>
      <c r="C27" s="225"/>
      <c r="D27" s="207" t="str">
        <f aca="false">IF(ISERROR(VLOOKUP($A27,'[1]liste reference'!$A$7:$D$904,2,0)),IF(ISERROR(VLOOKUP($A27,'[1]liste reference'!$B$7:$D$904,1,0)),"",VLOOKUP($A27,'[1]liste reference'!$B$7:$D$904,1,0)),VLOOKUP($A27,'[1]liste reference'!$A$7:$D$904,2,0))</f>
        <v>Vaucheria sp.</v>
      </c>
      <c r="E27" s="226" t="e">
        <f aca="false">IF(D27="",0,VLOOKUP(D27,D$22:D26,1,0))</f>
        <v>#N/A</v>
      </c>
      <c r="F27" s="227" t="n">
        <f aca="false">($B27*$B$7+$C27*$C$7)/100</f>
        <v>0.16</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4</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Vaucheria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6193</v>
      </c>
      <c r="Q27" s="216" t="n">
        <f aca="false">IF(ISTEXT(H27),"",(B27*$B$7/100)+(C27*$C$7/100))</f>
        <v>0.16</v>
      </c>
      <c r="R27" s="217" t="n">
        <f aca="false">IF(OR(ISTEXT(H27),Q27=0),"",IF(Q27&lt;0.1,1,IF(Q27&lt;1,2,IF(Q27&lt;10,3,IF(Q27&lt;50,4,IF(Q27&gt;=50,5,""))))))</f>
        <v>2</v>
      </c>
      <c r="S27" s="217" t="n">
        <f aca="false">IF(ISERROR(R27*I27),0,R27*I27)</f>
        <v>8</v>
      </c>
      <c r="T27" s="217" t="n">
        <f aca="false">IF(ISERROR(R27*I27*J27),0,R27*I27*J27)</f>
        <v>8</v>
      </c>
      <c r="U27" s="229" t="n">
        <f aca="false">IF(ISERROR(R27*J27),0,R27*J27)</f>
        <v>2</v>
      </c>
      <c r="V27" s="218" t="str">
        <f aca="false">IF(AND(A27="",F27=0),"",IF(F27=0,"Il manque le(s) % de rec. !",""))</f>
        <v/>
      </c>
      <c r="W27" s="230"/>
      <c r="Y27" s="220" t="str">
        <f aca="false">IF(A27="new.cod","NEWCOD",IF(AND((Z27=""),ISTEXT(A27)),A27,IF(Z27="","",INDEX('[1]liste reference'!$A$8:$A$904,Z27))))</f>
        <v>VAUSPX</v>
      </c>
      <c r="Z27" s="10" t="n">
        <f aca="false">IF(ISERROR(MATCH(A27,'[1]liste reference'!$A$8:$A$904,0)),IF(ISERROR(MATCH(A27,'[1]liste reference'!$B$8:$B$904,0)),"",(MATCH(A27,'[1]liste reference'!$B$8:$B$904,0))),(MATCH(A27,'[1]liste reference'!$A$8:$A$904,0)))</f>
        <v>82</v>
      </c>
      <c r="AA27" s="221"/>
      <c r="AB27" s="222"/>
      <c r="AC27" s="222"/>
      <c r="BB27" s="10" t="n">
        <f aca="false">IF(A27="","",1)</f>
        <v>1</v>
      </c>
    </row>
    <row r="28" customFormat="false" ht="12.75" hidden="false" customHeight="false" outlineLevel="0" collapsed="false">
      <c r="A28" s="223" t="s">
        <v>81</v>
      </c>
      <c r="B28" s="224" t="n">
        <v>0.16</v>
      </c>
      <c r="C28" s="225"/>
      <c r="D28" s="207" t="str">
        <f aca="false">IF(ISERROR(VLOOKUP($A28,'[1]liste reference'!$A$7:$D$904,2,0)),IF(ISERROR(VLOOKUP($A28,'[1]liste reference'!$B$7:$D$904,1,0)),"",VLOOKUP($A28,'[1]liste reference'!$B$7:$D$904,1,0)),VLOOKUP($A28,'[1]liste reference'!$A$7:$D$904,2,0))</f>
        <v>Melosira sp.</v>
      </c>
      <c r="E28" s="226" t="e">
        <f aca="false">IF(D28="",0,VLOOKUP(D28,D$22:D27,1,0))</f>
        <v>#N/A</v>
      </c>
      <c r="F28" s="227" t="n">
        <f aca="false">($B28*$B$7+$C28*$C$7)/100</f>
        <v>0.16</v>
      </c>
      <c r="G28" s="209" t="str">
        <f aca="false">IF(A28="","",IF(ISERROR(VLOOKUP($A28,'[1]liste reference'!$A$7:$P$904,13,0)),IF(ISERROR(VLOOKUP($A28,'[1]liste reference'!$B$7:$P$904,12,0)),"    -",VLOOKUP($A28,'[1]liste reference'!$B$7:$P$904,12,0)),VLOOKUP($A28,'[1]liste reference'!$A$7:$P$904,13,0)))</f>
        <v>ALG</v>
      </c>
      <c r="H28" s="210" t="n">
        <f aca="false">IF(A28="","x",IF(ISERROR(VLOOKUP($A28,'[1]liste reference'!$A$8:$P$904,14,0)),IF(ISERROR(VLOOKUP($A28,'[1]liste reference'!$B$8:$P$904,13,0)),"x",VLOOKUP($A28,'[1]liste reference'!$B$8:$P$904,13,0)),VLOOKUP($A28,'[1]liste reference'!$A$8:$P$904,14,0)))</f>
        <v>2</v>
      </c>
      <c r="I28" s="211" t="n">
        <f aca="false">IF(ISNUMBER(H28),IF(ISERROR(VLOOKUP($A28,'[1]liste reference'!$A$7:$P$904,3,0)),IF(ISERROR(VLOOKUP($A28,'[1]liste reference'!$B$7:$P$904,2,0)),"",VLOOKUP($A28,'[1]liste reference'!$B$7:$P$904,2,0)),VLOOKUP($A28,'[1]liste reference'!$A$7:$P$904,3,0)),"")</f>
        <v>10</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Melosira sp.</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8714</v>
      </c>
      <c r="Q28" s="216" t="n">
        <f aca="false">IF(ISTEXT(H28),"",(B28*$B$7/100)+(C28*$C$7/100))</f>
        <v>0.16</v>
      </c>
      <c r="R28" s="217" t="n">
        <f aca="false">IF(OR(ISTEXT(H28),Q28=0),"",IF(Q28&lt;0.1,1,IF(Q28&lt;1,2,IF(Q28&lt;10,3,IF(Q28&lt;50,4,IF(Q28&gt;=50,5,""))))))</f>
        <v>2</v>
      </c>
      <c r="S28" s="217" t="n">
        <f aca="false">IF(ISERROR(R28*I28),0,R28*I28)</f>
        <v>20</v>
      </c>
      <c r="T28" s="217" t="n">
        <f aca="false">IF(ISERROR(R28*I28*J28),0,R28*I28*J28)</f>
        <v>20</v>
      </c>
      <c r="U28" s="229" t="n">
        <f aca="false">IF(ISERROR(R28*J28),0,R28*J28)</f>
        <v>2</v>
      </c>
      <c r="V28" s="218" t="str">
        <f aca="false">IF(AND(A28="",F28=0),"",IF(F28=0,"Il manque le(s) % de rec. !",""))</f>
        <v/>
      </c>
      <c r="W28" s="219"/>
      <c r="Y28" s="220" t="str">
        <f aca="false">IF(A28="new.cod","NEWCOD",IF(AND((Z28=""),ISTEXT(A28)),A28,IF(Z28="","",INDEX('[1]liste reference'!$A$8:$A$904,Z28))))</f>
        <v>MELSPX</v>
      </c>
      <c r="Z28" s="10" t="n">
        <f aca="false">IF(ISERROR(MATCH(A28,'[1]liste reference'!$A$8:$A$904,0)),IF(ISERROR(MATCH(A28,'[1]liste reference'!$B$8:$B$904,0)),"",(MATCH(A28,'[1]liste reference'!$B$8:$B$904,0))),(MATCH(A28,'[1]liste reference'!$A$8:$A$904,0)))</f>
        <v>36</v>
      </c>
      <c r="AA28" s="221"/>
      <c r="AB28" s="222"/>
      <c r="AC28" s="222"/>
      <c r="BB28" s="10" t="n">
        <f aca="false">IF(A28="","",1)</f>
        <v>1</v>
      </c>
    </row>
    <row r="29" customFormat="false" ht="12.75" hidden="false" customHeight="false" outlineLevel="0" collapsed="false">
      <c r="A29" s="223" t="s">
        <v>82</v>
      </c>
      <c r="B29" s="224" t="n">
        <v>0.16</v>
      </c>
      <c r="C29" s="225"/>
      <c r="D29" s="207" t="str">
        <f aca="false">IF(ISERROR(VLOOKUP($A29,'[1]liste reference'!$A$7:$D$904,2,0)),IF(ISERROR(VLOOKUP($A29,'[1]liste reference'!$B$7:$D$904,1,0)),"",VLOOKUP($A29,'[1]liste reference'!$B$7:$D$904,1,0)),VLOOKUP($A29,'[1]liste reference'!$A$7:$D$904,2,0))</f>
        <v>Tetraspora sp.</v>
      </c>
      <c r="E29" s="226" t="e">
        <f aca="false">IF(D29="",0,VLOOKUP(D29,D$22:D28,1,0))</f>
        <v>#N/A</v>
      </c>
      <c r="F29" s="227" t="n">
        <f aca="false">($B29*$B$7+$C29*$C$7)/100</f>
        <v>0.16</v>
      </c>
      <c r="G29" s="209" t="str">
        <f aca="false">IF(A29="","",IF(ISERROR(VLOOKUP($A29,'[1]liste reference'!$A$7:$P$904,13,0)),IF(ISERROR(VLOOKUP($A29,'[1]liste reference'!$B$7:$P$904,12,0)),"    -",VLOOKUP($A29,'[1]liste reference'!$B$7:$P$904,12,0)),VLOOKUP($A29,'[1]liste reference'!$A$7:$P$904,13,0)))</f>
        <v>ALG</v>
      </c>
      <c r="H29" s="210" t="n">
        <f aca="false">IF(A29="","x",IF(ISERROR(VLOOKUP($A29,'[1]liste reference'!$A$8:$P$904,14,0)),IF(ISERROR(VLOOKUP($A29,'[1]liste reference'!$B$8:$P$904,13,0)),"x",VLOOKUP($A29,'[1]liste reference'!$B$8:$P$904,13,0)),VLOOKUP($A29,'[1]liste reference'!$A$8:$P$904,14,0)))</f>
        <v>2</v>
      </c>
      <c r="I29" s="211" t="n">
        <f aca="false">IF(ISNUMBER(H29),IF(ISERROR(VLOOKUP($A29,'[1]liste reference'!$A$7:$P$904,3,0)),IF(ISERROR(VLOOKUP($A29,'[1]liste reference'!$B$7:$P$904,2,0)),"",VLOOKUP($A29,'[1]liste reference'!$B$7:$P$904,2,0)),VLOOKUP($A29,'[1]liste reference'!$A$7:$P$904,3,0)),"")</f>
        <v>12</v>
      </c>
      <c r="J29" s="211" t="n">
        <f aca="false">IF(ISNUMBER(H29),IF(ISERROR(VLOOKUP($A29,'[1]liste reference'!$A$7:$P$904,4,0)),IF(ISERROR(VLOOKUP($A29,'[1]liste reference'!$B$7:$P$904,3,0)),"",VLOOKUP($A29,'[1]liste reference'!$B$7:$P$904,3,0)),VLOOKUP($A29,'[1]liste reference'!$A$7:$P$904,4,0)),"")</f>
        <v>1</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Tetraspora sp.</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1138</v>
      </c>
      <c r="Q29" s="216" t="n">
        <f aca="false">IF(ISTEXT(H29),"",(B29*$B$7/100)+(C29*$C$7/100))</f>
        <v>0.16</v>
      </c>
      <c r="R29" s="217" t="n">
        <f aca="false">IF(OR(ISTEXT(H29),Q29=0),"",IF(Q29&lt;0.1,1,IF(Q29&lt;1,2,IF(Q29&lt;10,3,IF(Q29&lt;50,4,IF(Q29&gt;=50,5,""))))))</f>
        <v>2</v>
      </c>
      <c r="S29" s="217" t="n">
        <f aca="false">IF(ISERROR(R29*I29),0,R29*I29)</f>
        <v>24</v>
      </c>
      <c r="T29" s="217" t="n">
        <f aca="false">IF(ISERROR(R29*I29*J29),0,R29*I29*J29)</f>
        <v>24</v>
      </c>
      <c r="U29" s="229" t="n">
        <f aca="false">IF(ISERROR(R29*J29),0,R29*J29)</f>
        <v>2</v>
      </c>
      <c r="V29" s="218" t="str">
        <f aca="false">IF(AND(A29="",F29=0),"",IF(F29=0,"Il manque le(s) % de rec. !",""))</f>
        <v/>
      </c>
      <c r="W29" s="219"/>
      <c r="X29" s="219"/>
      <c r="Y29" s="220" t="str">
        <f aca="false">IF(A29="new.cod","NEWCOD",IF(AND((Z29=""),ISTEXT(A29)),A29,IF(Z29="","",INDEX('[1]liste reference'!$A$8:$A$904,Z29))))</f>
        <v>TETSPX</v>
      </c>
      <c r="Z29" s="10" t="n">
        <f aca="false">IF(ISERROR(MATCH(A29,'[1]liste reference'!$A$8:$A$904,0)),IF(ISERROR(MATCH(A29,'[1]liste reference'!$B$8:$B$904,0)),"",(MATCH(A29,'[1]liste reference'!$B$8:$B$904,0))),(MATCH(A29,'[1]liste reference'!$A$8:$A$904,0)))</f>
        <v>73</v>
      </c>
      <c r="AA29" s="221"/>
      <c r="AB29" s="222"/>
      <c r="AC29" s="222"/>
      <c r="BB29" s="10" t="n">
        <f aca="false">IF(A29="","",1)</f>
        <v>1</v>
      </c>
    </row>
    <row r="30" customFormat="false" ht="12.75" hidden="false" customHeight="false" outlineLevel="0" collapsed="false">
      <c r="A30" s="223" t="s">
        <v>83</v>
      </c>
      <c r="B30" s="224" t="n">
        <v>0.01</v>
      </c>
      <c r="C30" s="225"/>
      <c r="D30" s="207" t="str">
        <f aca="false">IF(ISERROR(VLOOKUP($A30,'[1]liste reference'!$A$7:$D$904,2,0)),IF(ISERROR(VLOOKUP($A30,'[1]liste reference'!$B$7:$D$904,1,0)),"",VLOOKUP($A30,'[1]liste reference'!$B$7:$D$904,1,0)),VLOOKUP($A30,'[1]liste reference'!$A$7:$D$904,2,0))</f>
        <v>Nostoc sp.</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ALG</v>
      </c>
      <c r="H30" s="210" t="n">
        <f aca="false">IF(A30="","x",IF(ISERROR(VLOOKUP($A30,'[1]liste reference'!$A$8:$P$904,14,0)),IF(ISERROR(VLOOKUP($A30,'[1]liste reference'!$B$8:$P$904,13,0)),"x",VLOOKUP($A30,'[1]liste reference'!$B$8:$P$904,13,0)),VLOOKUP($A30,'[1]liste reference'!$A$8:$P$904,14,0)))</f>
        <v>2</v>
      </c>
      <c r="I30" s="211" t="n">
        <f aca="false">IF(ISNUMBER(H30),IF(ISERROR(VLOOKUP($A30,'[1]liste reference'!$A$7:$P$904,3,0)),IF(ISERROR(VLOOKUP($A30,'[1]liste reference'!$B$7:$P$904,2,0)),"",VLOOKUP($A30,'[1]liste reference'!$B$7:$P$904,2,0)),VLOOKUP($A30,'[1]liste reference'!$A$7:$P$904,3,0)),"")</f>
        <v>9</v>
      </c>
      <c r="J30" s="211" t="n">
        <f aca="false">IF(ISNUMBER(H30),IF(ISERROR(VLOOKUP($A30,'[1]liste reference'!$A$7:$P$904,4,0)),IF(ISERROR(VLOOKUP($A30,'[1]liste reference'!$B$7:$P$904,3,0)),"",VLOOKUP($A30,'[1]liste reference'!$B$7:$P$904,3,0)),VLOOKUP($A30,'[1]liste reference'!$A$7:$P$904,4,0)),"")</f>
        <v>1</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Nostoc sp.</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1105</v>
      </c>
      <c r="Q30" s="216" t="n">
        <f aca="false">IF(ISTEXT(H30),"",(B30*$B$7/100)+(C30*$C$7/100))</f>
        <v>0.01</v>
      </c>
      <c r="R30" s="217" t="n">
        <f aca="false">IF(OR(ISTEXT(H30),Q30=0),"",IF(Q30&lt;0.1,1,IF(Q30&lt;1,2,IF(Q30&lt;10,3,IF(Q30&lt;50,4,IF(Q30&gt;=50,5,""))))))</f>
        <v>1</v>
      </c>
      <c r="S30" s="217" t="n">
        <f aca="false">IF(ISERROR(R30*I30),0,R30*I30)</f>
        <v>9</v>
      </c>
      <c r="T30" s="217" t="n">
        <f aca="false">IF(ISERROR(R30*I30*J30),0,R30*I30*J30)</f>
        <v>9</v>
      </c>
      <c r="U30" s="229" t="n">
        <f aca="false">IF(ISERROR(R30*J30),0,R30*J30)</f>
        <v>1</v>
      </c>
      <c r="V30" s="218" t="str">
        <f aca="false">IF(AND(A30="",F30=0),"",IF(F30=0,"Il manque le(s) % de rec. !",""))</f>
        <v/>
      </c>
      <c r="W30" s="219"/>
      <c r="Y30" s="220" t="str">
        <f aca="false">IF(A30="new.cod","NEWCOD",IF(AND((Z30=""),ISTEXT(A30)),A30,IF(Z30="","",INDEX('[1]liste reference'!$A$8:$A$904,Z30))))</f>
        <v>NOSSPX</v>
      </c>
      <c r="Z30" s="10" t="n">
        <f aca="false">IF(ISERROR(MATCH(A30,'[1]liste reference'!$A$8:$A$904,0)),IF(ISERROR(MATCH(A30,'[1]liste reference'!$B$8:$B$904,0)),"",(MATCH(A30,'[1]liste reference'!$B$8:$B$904,0))),(MATCH(A30,'[1]liste reference'!$A$8:$A$904,0)))</f>
        <v>54</v>
      </c>
      <c r="AA30" s="221"/>
      <c r="AB30" s="222"/>
      <c r="AC30" s="222"/>
      <c r="BB30" s="10" t="n">
        <f aca="false">IF(A30="","",1)</f>
        <v>1</v>
      </c>
    </row>
    <row r="31" customFormat="false" ht="12.75" hidden="false" customHeight="false" outlineLevel="0" collapsed="false">
      <c r="A31" s="223" t="s">
        <v>84</v>
      </c>
      <c r="B31" s="224" t="n">
        <v>0.32</v>
      </c>
      <c r="C31" s="225"/>
      <c r="D31" s="207" t="str">
        <f aca="false">IF(ISERROR(VLOOKUP($A31,'[1]liste reference'!$A$7:$D$904,2,0)),IF(ISERROR(VLOOKUP($A31,'[1]liste reference'!$B$7:$D$904,1,0)),"",VLOOKUP($A31,'[1]liste reference'!$B$7:$D$904,1,0)),VLOOKUP($A31,'[1]liste reference'!$A$7:$D$904,2,0))</f>
        <v>Oscillatoria sp.</v>
      </c>
      <c r="E31" s="226" t="e">
        <f aca="false">IF(D31="",0,VLOOKUP(D31,D$22:D30,1,0))</f>
        <v>#N/A</v>
      </c>
      <c r="F31" s="227" t="n">
        <f aca="false">($B31*$B$7+$C31*$C$7)/100</f>
        <v>0.32</v>
      </c>
      <c r="G31" s="209" t="str">
        <f aca="false">IF(A31="","",IF(ISERROR(VLOOKUP($A31,'[1]liste reference'!$A$7:$P$904,13,0)),IF(ISERROR(VLOOKUP($A31,'[1]liste reference'!$B$7:$P$904,12,0)),"    -",VLOOKUP($A31,'[1]liste reference'!$B$7:$P$904,12,0)),VLOOKUP($A31,'[1]liste reference'!$A$7:$P$904,13,0)))</f>
        <v>ALG</v>
      </c>
      <c r="H31" s="210" t="n">
        <f aca="false">IF(A31="","x",IF(ISERROR(VLOOKUP($A31,'[1]liste reference'!$A$8:$P$904,14,0)),IF(ISERROR(VLOOKUP($A31,'[1]liste reference'!$B$8:$P$904,13,0)),"x",VLOOKUP($A31,'[1]liste reference'!$B$8:$P$904,13,0)),VLOOKUP($A31,'[1]liste reference'!$A$8:$P$904,14,0)))</f>
        <v>2</v>
      </c>
      <c r="I31" s="211" t="n">
        <f aca="false">IF(ISNUMBER(H31),IF(ISERROR(VLOOKUP($A31,'[1]liste reference'!$A$7:$P$904,3,0)),IF(ISERROR(VLOOKUP($A31,'[1]liste reference'!$B$7:$P$904,2,0)),"",VLOOKUP($A31,'[1]liste reference'!$B$7:$P$904,2,0)),VLOOKUP($A31,'[1]liste reference'!$A$7:$P$904,3,0)),"")</f>
        <v>11</v>
      </c>
      <c r="J31" s="211" t="n">
        <f aca="false">IF(ISNUMBER(H31),IF(ISERROR(VLOOKUP($A31,'[1]liste reference'!$A$7:$P$904,4,0)),IF(ISERROR(VLOOKUP($A31,'[1]liste reference'!$B$7:$P$904,3,0)),"",VLOOKUP($A31,'[1]liste reference'!$B$7:$P$904,3,0)),VLOOKUP($A31,'[1]liste reference'!$A$7:$P$904,4,0)),"")</f>
        <v>1</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Oscillatoria sp.</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1108</v>
      </c>
      <c r="Q31" s="216" t="n">
        <f aca="false">IF(ISTEXT(H31),"",(B31*$B$7/100)+(C31*$C$7/100))</f>
        <v>0.32</v>
      </c>
      <c r="R31" s="217" t="n">
        <f aca="false">IF(OR(ISTEXT(H31),Q31=0),"",IF(Q31&lt;0.1,1,IF(Q31&lt;1,2,IF(Q31&lt;10,3,IF(Q31&lt;50,4,IF(Q31&gt;=50,5,""))))))</f>
        <v>2</v>
      </c>
      <c r="S31" s="217" t="n">
        <f aca="false">IF(ISERROR(R31*I31),0,R31*I31)</f>
        <v>22</v>
      </c>
      <c r="T31" s="217" t="n">
        <f aca="false">IF(ISERROR(R31*I31*J31),0,R31*I31*J31)</f>
        <v>22</v>
      </c>
      <c r="U31" s="229" t="n">
        <f aca="false">IF(ISERROR(R31*J31),0,R31*J31)</f>
        <v>2</v>
      </c>
      <c r="V31" s="218" t="str">
        <f aca="false">IF(AND(A31="",F31=0),"",IF(F31=0,"Il manque le(s) % de rec. !",""))</f>
        <v/>
      </c>
      <c r="W31" s="219"/>
      <c r="Y31" s="220" t="str">
        <f aca="false">IF(A31="new.cod","NEWCOD",IF(AND((Z31=""),ISTEXT(A31)),A31,IF(Z31="","",INDEX('[1]liste reference'!$A$8:$A$904,Z31))))</f>
        <v>OSCSPX</v>
      </c>
      <c r="Z31" s="10" t="n">
        <f aca="false">IF(ISERROR(MATCH(A31,'[1]liste reference'!$A$8:$A$904,0)),IF(ISERROR(MATCH(A31,'[1]liste reference'!$B$8:$B$904,0)),"",(MATCH(A31,'[1]liste reference'!$B$8:$B$904,0))),(MATCH(A31,'[1]liste reference'!$A$8:$A$904,0)))</f>
        <v>56</v>
      </c>
      <c r="AA31" s="221"/>
      <c r="AB31" s="222"/>
      <c r="AC31" s="222"/>
      <c r="BB31" s="10" t="n">
        <f aca="false">IF(A31="","",1)</f>
        <v>1</v>
      </c>
    </row>
    <row r="32" customFormat="false" ht="12.75" hidden="false" customHeight="false" outlineLevel="0" collapsed="false">
      <c r="A32" s="223" t="s">
        <v>85</v>
      </c>
      <c r="B32" s="224" t="n">
        <v>0.29</v>
      </c>
      <c r="C32" s="225"/>
      <c r="D32" s="207" t="str">
        <f aca="false">IF(ISERROR(VLOOKUP($A32,'[1]liste reference'!$A$7:$D$904,2,0)),IF(ISERROR(VLOOKUP($A32,'[1]liste reference'!$B$7:$D$904,1,0)),"",VLOOKUP($A32,'[1]liste reference'!$B$7:$D$904,1,0)),VLOOKUP($A32,'[1]liste reference'!$A$7:$D$904,2,0))</f>
        <v>Fissidens crassipes</v>
      </c>
      <c r="E32" s="226" t="e">
        <f aca="false">IF(D32="",0,VLOOKUP(D32,D$22:D31,1,0))</f>
        <v>#N/A</v>
      </c>
      <c r="F32" s="227" t="n">
        <f aca="false">($B32*$B$7+$C32*$C$7)/100</f>
        <v>0.29</v>
      </c>
      <c r="G32" s="209" t="str">
        <f aca="false">IF(A32="","",IF(ISERROR(VLOOKUP($A32,'[1]liste reference'!$A$7:$P$904,13,0)),IF(ISERROR(VLOOKUP($A32,'[1]liste reference'!$B$7:$P$904,12,0)),"    -",VLOOKUP($A32,'[1]liste reference'!$B$7:$P$904,12,0)),VLOOKUP($A32,'[1]liste reference'!$A$7:$P$904,13,0)))</f>
        <v>BRm</v>
      </c>
      <c r="H32" s="210" t="n">
        <f aca="false">IF(A32="","x",IF(ISERROR(VLOOKUP($A32,'[1]liste reference'!$A$8:$P$904,14,0)),IF(ISERROR(VLOOKUP($A32,'[1]liste reference'!$B$8:$P$904,13,0)),"x",VLOOKUP($A32,'[1]liste reference'!$B$8:$P$904,13,0)),VLOOKUP($A32,'[1]liste reference'!$A$8:$P$904,14,0)))</f>
        <v>5</v>
      </c>
      <c r="I32" s="211" t="n">
        <f aca="false">IF(ISNUMBER(H32),IF(ISERROR(VLOOKUP($A32,'[1]liste reference'!$A$7:$P$904,3,0)),IF(ISERROR(VLOOKUP($A32,'[1]liste reference'!$B$7:$P$904,2,0)),"",VLOOKUP($A32,'[1]liste reference'!$B$7:$P$904,2,0)),VLOOKUP($A32,'[1]liste reference'!$A$7:$P$904,3,0)),"")</f>
        <v>12</v>
      </c>
      <c r="J32" s="211" t="n">
        <f aca="false">IF(ISNUMBER(H32),IF(ISERROR(VLOOKUP($A32,'[1]liste reference'!$A$7:$P$904,4,0)),IF(ISERROR(VLOOKUP($A32,'[1]liste reference'!$B$7:$P$904,3,0)),"",VLOOKUP($A32,'[1]liste reference'!$B$7:$P$904,3,0)),VLOOKUP($A32,'[1]liste reference'!$A$7:$P$904,4,0)),"")</f>
        <v>2</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Fissidens crassipes</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1294</v>
      </c>
      <c r="Q32" s="216" t="n">
        <f aca="false">IF(ISTEXT(H32),"",(B32*$B$7/100)+(C32*$C$7/100))</f>
        <v>0.29</v>
      </c>
      <c r="R32" s="217" t="n">
        <f aca="false">IF(OR(ISTEXT(H32),Q32=0),"",IF(Q32&lt;0.1,1,IF(Q32&lt;1,2,IF(Q32&lt;10,3,IF(Q32&lt;50,4,IF(Q32&gt;=50,5,""))))))</f>
        <v>2</v>
      </c>
      <c r="S32" s="217" t="n">
        <f aca="false">IF(ISERROR(R32*I32),0,R32*I32)</f>
        <v>24</v>
      </c>
      <c r="T32" s="217" t="n">
        <f aca="false">IF(ISERROR(R32*I32*J32),0,R32*I32*J32)</f>
        <v>48</v>
      </c>
      <c r="U32" s="229" t="n">
        <f aca="false">IF(ISERROR(R32*J32),0,R32*J32)</f>
        <v>4</v>
      </c>
      <c r="V32" s="218" t="str">
        <f aca="false">IF(AND(A32="",F32=0),"",IF(F32=0,"Il manque le(s) % de rec. !",""))</f>
        <v/>
      </c>
      <c r="W32" s="219"/>
      <c r="Y32" s="220" t="str">
        <f aca="false">IF(A32="new.cod","NEWCOD",IF(AND((Z32=""),ISTEXT(A32)),A32,IF(Z32="","",INDEX('[1]liste reference'!$A$8:$A$904,Z32))))</f>
        <v>FISCRA</v>
      </c>
      <c r="Z32" s="10" t="n">
        <f aca="false">IF(ISERROR(MATCH(A32,'[1]liste reference'!$A$8:$A$904,0)),IF(ISERROR(MATCH(A32,'[1]liste reference'!$B$8:$B$904,0)),"",(MATCH(A32,'[1]liste reference'!$B$8:$B$904,0))),(MATCH(A32,'[1]liste reference'!$A$8:$A$904,0)))</f>
        <v>197</v>
      </c>
      <c r="AA32" s="221"/>
      <c r="AB32" s="222"/>
      <c r="AC32" s="222"/>
      <c r="BB32" s="10" t="n">
        <f aca="false">IF(A32="","",1)</f>
        <v>1</v>
      </c>
    </row>
    <row r="33" customFormat="false" ht="12.75" hidden="false" customHeight="false" outlineLevel="0" collapsed="false">
      <c r="A33" s="223" t="s">
        <v>86</v>
      </c>
      <c r="B33" s="224" t="n">
        <v>0.29</v>
      </c>
      <c r="C33" s="225"/>
      <c r="D33" s="207" t="str">
        <f aca="false">IF(ISERROR(VLOOKUP($A33,'[1]liste reference'!$A$7:$D$904,2,0)),IF(ISERROR(VLOOKUP($A33,'[1]liste reference'!$B$7:$D$904,1,0)),"",VLOOKUP($A33,'[1]liste reference'!$B$7:$D$904,1,0)),VLOOKUP($A33,'[1]liste reference'!$A$7:$D$904,2,0))</f>
        <v>Fontinalis antipyretica</v>
      </c>
      <c r="E33" s="226" t="e">
        <f aca="false">IF(D33="",0,VLOOKUP(D33,D$22:D32,1,0))</f>
        <v>#N/A</v>
      </c>
      <c r="F33" s="227" t="n">
        <f aca="false">($B33*$B$7+$C33*$C$7)/100</f>
        <v>0.29</v>
      </c>
      <c r="G33" s="209" t="str">
        <f aca="false">IF(A33="","",IF(ISERROR(VLOOKUP($A33,'[1]liste reference'!$A$7:$P$904,13,0)),IF(ISERROR(VLOOKUP($A33,'[1]liste reference'!$B$7:$P$904,12,0)),"    -",VLOOKUP($A33,'[1]liste reference'!$B$7:$P$904,12,0)),VLOOKUP($A33,'[1]liste reference'!$A$7:$P$904,13,0)))</f>
        <v>BRm</v>
      </c>
      <c r="H33" s="210" t="n">
        <f aca="false">IF(A33="","x",IF(ISERROR(VLOOKUP($A33,'[1]liste reference'!$A$8:$P$904,14,0)),IF(ISERROR(VLOOKUP($A33,'[1]liste reference'!$B$8:$P$904,13,0)),"x",VLOOKUP($A33,'[1]liste reference'!$B$8:$P$904,13,0)),VLOOKUP($A33,'[1]liste reference'!$A$8:$P$904,14,0)))</f>
        <v>5</v>
      </c>
      <c r="I33" s="211" t="n">
        <f aca="false">IF(ISNUMBER(H33),IF(ISERROR(VLOOKUP($A33,'[1]liste reference'!$A$7:$P$904,3,0)),IF(ISERROR(VLOOKUP($A33,'[1]liste reference'!$B$7:$P$904,2,0)),"",VLOOKUP($A33,'[1]liste reference'!$B$7:$P$904,2,0)),VLOOKUP($A33,'[1]liste reference'!$A$7:$P$904,3,0)),"")</f>
        <v>10</v>
      </c>
      <c r="J33" s="211" t="n">
        <f aca="false">IF(ISNUMBER(H33),IF(ISERROR(VLOOKUP($A33,'[1]liste reference'!$A$7:$P$904,4,0)),IF(ISERROR(VLOOKUP($A33,'[1]liste reference'!$B$7:$P$904,3,0)),"",VLOOKUP($A33,'[1]liste reference'!$B$7:$P$904,3,0)),VLOOKUP($A33,'[1]liste reference'!$A$7:$P$904,4,0)),"")</f>
        <v>1</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Fontinalis antipyretica</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1310</v>
      </c>
      <c r="Q33" s="216" t="n">
        <f aca="false">IF(ISTEXT(H33),"",(B33*$B$7/100)+(C33*$C$7/100))</f>
        <v>0.29</v>
      </c>
      <c r="R33" s="217" t="n">
        <f aca="false">IF(OR(ISTEXT(H33),Q33=0),"",IF(Q33&lt;0.1,1,IF(Q33&lt;1,2,IF(Q33&lt;10,3,IF(Q33&lt;50,4,IF(Q33&gt;=50,5,""))))))</f>
        <v>2</v>
      </c>
      <c r="S33" s="217" t="n">
        <f aca="false">IF(ISERROR(R33*I33),0,R33*I33)</f>
        <v>20</v>
      </c>
      <c r="T33" s="217" t="n">
        <f aca="false">IF(ISERROR(R33*I33*J33),0,R33*I33*J33)</f>
        <v>20</v>
      </c>
      <c r="U33" s="229" t="n">
        <f aca="false">IF(ISERROR(R33*J33),0,R33*J33)</f>
        <v>2</v>
      </c>
      <c r="V33" s="218" t="str">
        <f aca="false">IF(AND(A33="",F33=0),"",IF(F33=0,"Il manque le(s) % de rec. !",""))</f>
        <v/>
      </c>
      <c r="W33" s="219"/>
      <c r="Y33" s="220" t="str">
        <f aca="false">IF(A33="new.cod","NEWCOD",IF(AND((Z33=""),ISTEXT(A33)),A33,IF(Z33="","",INDEX('[1]liste reference'!$A$8:$A$904,Z33))))</f>
        <v>FONANT</v>
      </c>
      <c r="Z33" s="10" t="n">
        <f aca="false">IF(ISERROR(MATCH(A33,'[1]liste reference'!$A$8:$A$904,0)),IF(ISERROR(MATCH(A33,'[1]liste reference'!$B$8:$B$904,0)),"",(MATCH(A33,'[1]liste reference'!$B$8:$B$904,0))),(MATCH(A33,'[1]liste reference'!$A$8:$A$904,0)))</f>
        <v>210</v>
      </c>
      <c r="AA33" s="221"/>
      <c r="AB33" s="222"/>
      <c r="AC33" s="222"/>
      <c r="BB33" s="10" t="n">
        <f aca="false">IF(A33="","",1)</f>
        <v>1</v>
      </c>
    </row>
    <row r="34" customFormat="false" ht="12.75" hidden="false" customHeight="false" outlineLevel="0" collapsed="false">
      <c r="A34" s="223" t="s">
        <v>87</v>
      </c>
      <c r="B34" s="224" t="n">
        <v>0.01</v>
      </c>
      <c r="C34" s="225"/>
      <c r="D34" s="207" t="str">
        <f aca="false">IF(ISERROR(VLOOKUP($A34,'[1]liste reference'!$A$7:$D$904,2,0)),IF(ISERROR(VLOOKUP($A34,'[1]liste reference'!$B$7:$D$904,1,0)),"",VLOOKUP($A34,'[1]liste reference'!$B$7:$D$904,1,0)),VLOOKUP($A34,'[1]liste reference'!$A$7:$D$904,2,0))</f>
        <v>Marchantia polymorpha</v>
      </c>
      <c r="E34" s="226" t="e">
        <f aca="false">IF(D34="",0,VLOOKUP(D34,D$22:D33,1,0))</f>
        <v>#N/A</v>
      </c>
      <c r="F34" s="231" t="n">
        <f aca="false">($B34*$B$7+$C34*$C$7)/100</f>
        <v>0.01</v>
      </c>
      <c r="G34" s="209" t="str">
        <f aca="false">IF(A34="","",IF(ISERROR(VLOOKUP($A34,'[1]liste reference'!$A$7:$P$904,13,0)),IF(ISERROR(VLOOKUP($A34,'[1]liste reference'!$B$7:$P$904,12,0)),"    -",VLOOKUP($A34,'[1]liste reference'!$B$7:$P$904,12,0)),VLOOKUP($A34,'[1]liste reference'!$A$7:$P$904,13,0)))</f>
        <v>BRh</v>
      </c>
      <c r="H34" s="210" t="n">
        <f aca="false">IF(A34="","x",IF(ISERROR(VLOOKUP($A34,'[1]liste reference'!$A$8:$P$904,14,0)),IF(ISERROR(VLOOKUP($A34,'[1]liste reference'!$B$8:$P$904,13,0)),"x",VLOOKUP($A34,'[1]liste reference'!$B$8:$P$904,13,0)),VLOOKUP($A34,'[1]liste reference'!$A$8:$P$904,14,0)))</f>
        <v>4</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Marchantia polymorpha</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1192</v>
      </c>
      <c r="Q34" s="216" t="n">
        <f aca="false">IF(ISTEXT(H34),"",(B34*$B$7/100)+(C34*$C$7/100))</f>
        <v>0.01</v>
      </c>
      <c r="R34" s="217" t="n">
        <f aca="false">IF(OR(ISTEXT(H34),Q34=0),"",IF(Q34&lt;0.1,1,IF(Q34&lt;1,2,IF(Q34&lt;10,3,IF(Q34&lt;50,4,IF(Q34&gt;=50,5,""))))))</f>
        <v>1</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MACPOL</v>
      </c>
      <c r="Z34" s="10" t="n">
        <f aca="false">IF(ISERROR(MATCH(A34,'[1]liste reference'!$A$8:$A$904,0)),IF(ISERROR(MATCH(A34,'[1]liste reference'!$B$8:$B$904,0)),"",(MATCH(A34,'[1]liste reference'!$B$8:$B$904,0))),(MATCH(A34,'[1]liste reference'!$A$8:$A$904,0)))</f>
        <v>111</v>
      </c>
      <c r="AA34" s="221"/>
      <c r="AB34" s="222"/>
      <c r="AC34" s="222"/>
      <c r="BB34" s="10" t="n">
        <f aca="false">IF(A34="","",1)</f>
        <v>1</v>
      </c>
    </row>
    <row r="35" customFormat="false" ht="12.75" hidden="false" customHeight="false" outlineLevel="0" collapsed="false">
      <c r="A35" s="223" t="s">
        <v>88</v>
      </c>
      <c r="B35" s="224" t="n">
        <v>0.29</v>
      </c>
      <c r="C35" s="225"/>
      <c r="D35" s="207" t="str">
        <f aca="false">IF(ISERROR(VLOOKUP($A35,'[1]liste reference'!$A$7:$D$904,2,0)),IF(ISERROR(VLOOKUP($A35,'[1]liste reference'!$B$7:$D$904,1,0)),"",VLOOKUP($A35,'[1]liste reference'!$B$7:$D$904,1,0)),VLOOKUP($A35,'[1]liste reference'!$A$7:$D$904,2,0))</f>
        <v>Rhynchostegium riparioides</v>
      </c>
      <c r="E35" s="226" t="e">
        <f aca="false">IF(D35="",0,VLOOKUP(D35,D$22:D34,1,0))</f>
        <v>#N/A</v>
      </c>
      <c r="F35" s="231" t="n">
        <f aca="false">($B35*$B$7+$C35*$C$7)/100</f>
        <v>0.29</v>
      </c>
      <c r="G35" s="209" t="str">
        <f aca="false">IF(A35="","",IF(ISERROR(VLOOKUP($A35,'[1]liste reference'!$A$7:$P$904,13,0)),IF(ISERROR(VLOOKUP($A35,'[1]liste reference'!$B$7:$P$904,12,0)),"    -",VLOOKUP($A35,'[1]liste reference'!$B$7:$P$904,12,0)),VLOOKUP($A35,'[1]liste reference'!$A$7:$P$904,13,0)))</f>
        <v>BRm</v>
      </c>
      <c r="H35" s="210" t="n">
        <f aca="false">IF(A35="","x",IF(ISERROR(VLOOKUP($A35,'[1]liste reference'!$A$8:$P$904,14,0)),IF(ISERROR(VLOOKUP($A35,'[1]liste reference'!$B$8:$P$904,13,0)),"x",VLOOKUP($A35,'[1]liste reference'!$B$8:$P$904,13,0)),VLOOKUP($A35,'[1]liste reference'!$A$8:$P$904,14,0)))</f>
        <v>5</v>
      </c>
      <c r="I35" s="211" t="n">
        <f aca="false">IF(ISNUMBER(H35),IF(ISERROR(VLOOKUP($A35,'[1]liste reference'!$A$7:$P$904,3,0)),IF(ISERROR(VLOOKUP($A35,'[1]liste reference'!$B$7:$P$904,2,0)),"",VLOOKUP($A35,'[1]liste reference'!$B$7:$P$904,2,0)),VLOOKUP($A35,'[1]liste reference'!$A$7:$P$904,3,0)),"")</f>
        <v>12</v>
      </c>
      <c r="J35" s="211" t="n">
        <f aca="false">IF(ISNUMBER(H35),IF(ISERROR(VLOOKUP($A35,'[1]liste reference'!$A$7:$P$904,4,0)),IF(ISERROR(VLOOKUP($A35,'[1]liste reference'!$B$7:$P$904,3,0)),"",VLOOKUP($A35,'[1]liste reference'!$B$7:$P$904,3,0)),VLOOKUP($A35,'[1]liste reference'!$A$7:$P$904,4,0)),"")</f>
        <v>1</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Rhynchostegium riparioides</v>
      </c>
      <c r="L35" s="228"/>
      <c r="M35" s="228"/>
      <c r="N35" s="228"/>
      <c r="O35" s="214"/>
      <c r="P35" s="215" t="n">
        <f aca="false">IF($A35="NEWCOD",IF($AC35="","No",$AC35),IF(ISTEXT($E35),"DEJA SAISI !",IF($A35="","",IF(ISERROR(VLOOKUP($A35,'[1]liste reference'!A$1:S$1048576,19,FALSE())),IF(ISERROR(VLOOKUP($A35,'[1]liste reference'!B$1:S$1048576,19,FALSE())),"",VLOOKUP($A35,'[1]liste reference'!B$1:S$1048576,19,FALSE())),VLOOKUP($A35,'[1]liste reference'!A$1:S$1048576,19,FALSE())))))</f>
        <v>1268</v>
      </c>
      <c r="Q35" s="216" t="n">
        <f aca="false">IF(ISTEXT(H35),"",(B35*$B$7/100)+(C35*$C$7/100))</f>
        <v>0.29</v>
      </c>
      <c r="R35" s="217" t="n">
        <f aca="false">IF(OR(ISTEXT(H35),Q35=0),"",IF(Q35&lt;0.1,1,IF(Q35&lt;1,2,IF(Q35&lt;10,3,IF(Q35&lt;50,4,IF(Q35&gt;=50,5,""))))))</f>
        <v>2</v>
      </c>
      <c r="S35" s="217" t="n">
        <f aca="false">IF(ISERROR(R35*I35),0,R35*I35)</f>
        <v>24</v>
      </c>
      <c r="T35" s="217" t="n">
        <f aca="false">IF(ISERROR(R35*I35*J35),0,R35*I35*J35)</f>
        <v>24</v>
      </c>
      <c r="U35" s="229" t="n">
        <f aca="false">IF(ISERROR(R35*J35),0,R35*J35)</f>
        <v>2</v>
      </c>
      <c r="V35" s="218" t="str">
        <f aca="false">IF(AND(A35="",F35=0),"",IF(F35=0,"Il manque le(s) % de rec. !",""))</f>
        <v/>
      </c>
      <c r="W35" s="219"/>
      <c r="Y35" s="220" t="str">
        <f aca="false">IF(A35="new.cod","NEWCOD",IF(AND((Z35=""),ISTEXT(A35)),A35,IF(Z35="","",INDEX('[1]liste reference'!$A$8:$A$904,Z35))))</f>
        <v>RHYRIP</v>
      </c>
      <c r="Z35" s="10" t="n">
        <f aca="false">IF(ISERROR(MATCH(A35,'[1]liste reference'!$A$8:$A$904,0)),IF(ISERROR(MATCH(A35,'[1]liste reference'!$B$8:$B$904,0)),"",(MATCH(A35,'[1]liste reference'!$B$8:$B$904,0))),(MATCH(A35,'[1]liste reference'!$A$8:$A$904,0)))</f>
        <v>252</v>
      </c>
      <c r="AA35" s="221"/>
      <c r="AB35" s="222"/>
      <c r="AC35" s="222"/>
      <c r="BB35" s="10" t="n">
        <f aca="false">IF(A35="","",1)</f>
        <v>1</v>
      </c>
    </row>
    <row r="36" customFormat="false" ht="12.75" hidden="false" customHeight="false" outlineLevel="0" collapsed="false">
      <c r="A36" s="223" t="s">
        <v>16</v>
      </c>
      <c r="B36" s="224" t="n">
        <v>0.29</v>
      </c>
      <c r="C36" s="225"/>
      <c r="D36" s="207" t="str">
        <f aca="false">IF(ISERROR(VLOOKUP($A36,'[1]liste reference'!$A$7:$D$904,2,0)),IF(ISERROR(VLOOKUP($A36,'[1]liste reference'!$B$7:$D$904,1,0)),"",VLOOKUP($A36,'[1]liste reference'!$B$7:$D$904,1,0)),VLOOKUP($A36,'[1]liste reference'!$A$7:$D$904,2,0))</f>
        <v>Cinclidotus aquaticus</v>
      </c>
      <c r="E36" s="226" t="e">
        <f aca="false">IF(D36="",0,VLOOKUP(D36,D$22:D35,1,0))</f>
        <v>#N/A</v>
      </c>
      <c r="F36" s="231" t="n">
        <f aca="false">($B36*$B$7+$C36*$C$7)/100</f>
        <v>0.29</v>
      </c>
      <c r="G36" s="209" t="str">
        <f aca="false">IF(A36="","",IF(ISERROR(VLOOKUP($A36,'[1]liste reference'!$A$7:$P$904,13,0)),IF(ISERROR(VLOOKUP($A36,'[1]liste reference'!$B$7:$P$904,12,0)),"    -",VLOOKUP($A36,'[1]liste reference'!$B$7:$P$904,12,0)),VLOOKUP($A36,'[1]liste reference'!$A$7:$P$904,13,0)))</f>
        <v>BRm</v>
      </c>
      <c r="H36" s="210" t="n">
        <f aca="false">IF(A36="","x",IF(ISERROR(VLOOKUP($A36,'[1]liste reference'!$A$8:$P$904,14,0)),IF(ISERROR(VLOOKUP($A36,'[1]liste reference'!$B$8:$P$904,13,0)),"x",VLOOKUP($A36,'[1]liste reference'!$B$8:$P$904,13,0)),VLOOKUP($A36,'[1]liste reference'!$A$8:$P$904,14,0)))</f>
        <v>5</v>
      </c>
      <c r="I36" s="211" t="n">
        <f aca="false">IF(ISNUMBER(H36),IF(ISERROR(VLOOKUP($A36,'[1]liste reference'!$A$7:$P$904,3,0)),IF(ISERROR(VLOOKUP($A36,'[1]liste reference'!$B$7:$P$904,2,0)),"",VLOOKUP($A36,'[1]liste reference'!$B$7:$P$904,2,0)),VLOOKUP($A36,'[1]liste reference'!$A$7:$P$904,3,0)),"")</f>
        <v>15</v>
      </c>
      <c r="J36" s="211" t="n">
        <f aca="false">IF(ISNUMBER(H36),IF(ISERROR(VLOOKUP($A36,'[1]liste reference'!$A$7:$P$904,4,0)),IF(ISERROR(VLOOKUP($A36,'[1]liste reference'!$B$7:$P$904,3,0)),"",VLOOKUP($A36,'[1]liste reference'!$B$7:$P$904,3,0)),VLOOKUP($A36,'[1]liste reference'!$A$7:$P$904,4,0)),"")</f>
        <v>2</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Cinclidotus aquaticus</v>
      </c>
      <c r="L36" s="228"/>
      <c r="M36" s="228"/>
      <c r="N36" s="228"/>
      <c r="O36" s="214"/>
      <c r="P36" s="215" t="n">
        <f aca="false">IF($A36="NEWCOD",IF($AC36="","No",$AC36),IF(ISTEXT($E36),"DEJA SAISI !",IF($A36="","",IF(ISERROR(VLOOKUP($A36,'[1]liste reference'!A$1:S$1048576,19,FALSE())),IF(ISERROR(VLOOKUP($A36,'[1]liste reference'!B$1:S$1048576,19,FALSE())),"",VLOOKUP($A36,'[1]liste reference'!B$1:S$1048576,19,FALSE())),VLOOKUP($A36,'[1]liste reference'!A$1:S$1048576,19,FALSE())))))</f>
        <v>1318</v>
      </c>
      <c r="Q36" s="216" t="n">
        <f aca="false">IF(ISTEXT(H36),"",(B36*$B$7/100)+(C36*$C$7/100))</f>
        <v>0.29</v>
      </c>
      <c r="R36" s="217" t="n">
        <f aca="false">IF(OR(ISTEXT(H36),Q36=0),"",IF(Q36&lt;0.1,1,IF(Q36&lt;1,2,IF(Q36&lt;10,3,IF(Q36&lt;50,4,IF(Q36&gt;=50,5,""))))))</f>
        <v>2</v>
      </c>
      <c r="S36" s="217" t="n">
        <f aca="false">IF(ISERROR(R36*I36),0,R36*I36)</f>
        <v>30</v>
      </c>
      <c r="T36" s="217" t="n">
        <f aca="false">IF(ISERROR(R36*I36*J36),0,R36*I36*J36)</f>
        <v>60</v>
      </c>
      <c r="U36" s="229" t="n">
        <f aca="false">IF(ISERROR(R36*J36),0,R36*J36)</f>
        <v>4</v>
      </c>
      <c r="V36" s="218" t="str">
        <f aca="false">IF(AND(A36="",F36=0),"",IF(F36=0,"Il manque le(s) % de rec. !",""))</f>
        <v/>
      </c>
      <c r="W36" s="219"/>
      <c r="Y36" s="220" t="str">
        <f aca="false">IF(A36="new.cod","NEWCOD",IF(AND((Z36=""),ISTEXT(A36)),A36,IF(Z36="","",INDEX('[1]liste reference'!$A$8:$A$904,Z36))))</f>
        <v>CINAQU</v>
      </c>
      <c r="Z36" s="10" t="n">
        <f aca="false">IF(ISERROR(MATCH(A36,'[1]liste reference'!$A$8:$A$904,0)),IF(ISERROR(MATCH(A36,'[1]liste reference'!$B$8:$B$904,0)),"",(MATCH(A36,'[1]liste reference'!$B$8:$B$904,0))),(MATCH(A36,'[1]liste reference'!$A$8:$A$904,0)))</f>
        <v>170</v>
      </c>
      <c r="AA36" s="221"/>
      <c r="AB36" s="222"/>
      <c r="AC36" s="222"/>
      <c r="BB36" s="10" t="n">
        <f aca="false">IF(A36="","",1)</f>
        <v>1</v>
      </c>
    </row>
    <row r="37" customFormat="false" ht="12.75" hidden="false" customHeight="false" outlineLevel="0" collapsed="false">
      <c r="A37" s="223" t="s">
        <v>89</v>
      </c>
      <c r="B37" s="224" t="n">
        <v>0.29</v>
      </c>
      <c r="C37" s="225"/>
      <c r="D37" s="207" t="str">
        <f aca="false">IF(ISERROR(VLOOKUP($A37,'[1]liste reference'!$A$7:$D$904,2,0)),IF(ISERROR(VLOOKUP($A37,'[1]liste reference'!$B$7:$D$904,1,0)),"",VLOOKUP($A37,'[1]liste reference'!$B$7:$D$904,1,0)),VLOOKUP($A37,'[1]liste reference'!$A$7:$D$904,2,0))</f>
        <v>Cratoneuron commutatum</v>
      </c>
      <c r="E37" s="226" t="e">
        <f aca="false">IF(D37="",0,VLOOKUP(D37,D$22:D36,1,0))</f>
        <v>#N/A</v>
      </c>
      <c r="F37" s="231" t="n">
        <f aca="false">($B37*$B$7+$C37*$C$7)/100</f>
        <v>0.29</v>
      </c>
      <c r="G37" s="209" t="str">
        <f aca="false">IF(A37="","",IF(ISERROR(VLOOKUP($A37,'[1]liste reference'!$A$7:$P$904,13,0)),IF(ISERROR(VLOOKUP($A37,'[1]liste reference'!$B$7:$P$904,12,0)),"    -",VLOOKUP($A37,'[1]liste reference'!$B$7:$P$904,12,0)),VLOOKUP($A37,'[1]liste reference'!$A$7:$P$904,13,0)))</f>
        <v>BRm</v>
      </c>
      <c r="H37" s="210" t="n">
        <f aca="false">IF(A37="","x",IF(ISERROR(VLOOKUP($A37,'[1]liste reference'!$A$8:$P$904,14,0)),IF(ISERROR(VLOOKUP($A37,'[1]liste reference'!$B$8:$P$904,13,0)),"x",VLOOKUP($A37,'[1]liste reference'!$B$8:$P$904,13,0)),VLOOKUP($A37,'[1]liste reference'!$A$8:$P$904,14,0)))</f>
        <v>5</v>
      </c>
      <c r="I37" s="211" t="n">
        <f aca="false">IF(ISNUMBER(H37),IF(ISERROR(VLOOKUP($A37,'[1]liste reference'!$A$7:$P$904,3,0)),IF(ISERROR(VLOOKUP($A37,'[1]liste reference'!$B$7:$P$904,2,0)),"",VLOOKUP($A37,'[1]liste reference'!$B$7:$P$904,2,0)),VLOOKUP($A37,'[1]liste reference'!$A$7:$P$904,3,0)),"")</f>
        <v>15</v>
      </c>
      <c r="J37" s="211" t="n">
        <f aca="false">IF(ISNUMBER(H37),IF(ISERROR(VLOOKUP($A37,'[1]liste reference'!$A$7:$P$904,4,0)),IF(ISERROR(VLOOKUP($A37,'[1]liste reference'!$B$7:$P$904,3,0)),"",VLOOKUP($A37,'[1]liste reference'!$B$7:$P$904,3,0)),VLOOKUP($A37,'[1]liste reference'!$A$7:$P$904,4,0)),"")</f>
        <v>2</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Cratoneuron commutatum</v>
      </c>
      <c r="L37" s="228"/>
      <c r="M37" s="228"/>
      <c r="N37" s="228"/>
      <c r="O37" s="214"/>
      <c r="P37" s="215" t="n">
        <f aca="false">IF($A37="NEWCOD",IF($AC37="","No",$AC37),IF(ISTEXT($E37),"DEJA SAISI !",IF($A37="","",IF(ISERROR(VLOOKUP($A37,'[1]liste reference'!A$1:S$1048576,19,FALSE())),IF(ISERROR(VLOOKUP($A37,'[1]liste reference'!B$1:S$1048576,19,FALSE())),"",VLOOKUP($A37,'[1]liste reference'!B$1:S$1048576,19,FALSE())),VLOOKUP($A37,'[1]liste reference'!A$1:S$1048576,19,FALSE())))))</f>
        <v>1232</v>
      </c>
      <c r="Q37" s="216" t="n">
        <f aca="false">IF(ISTEXT(H37),"",(B37*$B$7/100)+(C37*$C$7/100))</f>
        <v>0.29</v>
      </c>
      <c r="R37" s="217" t="n">
        <f aca="false">IF(OR(ISTEXT(H37),Q37=0),"",IF(Q37&lt;0.1,1,IF(Q37&lt;1,2,IF(Q37&lt;10,3,IF(Q37&lt;50,4,IF(Q37&gt;=50,5,""))))))</f>
        <v>2</v>
      </c>
      <c r="S37" s="217" t="n">
        <f aca="false">IF(ISERROR(R37*I37),0,R37*I37)</f>
        <v>30</v>
      </c>
      <c r="T37" s="217" t="n">
        <f aca="false">IF(ISERROR(R37*I37*J37),0,R37*I37*J37)</f>
        <v>60</v>
      </c>
      <c r="U37" s="229" t="n">
        <f aca="false">IF(ISERROR(R37*J37),0,R37*J37)</f>
        <v>4</v>
      </c>
      <c r="V37" s="218" t="str">
        <f aca="false">IF(AND(A37="",F37=0),"",IF(F37=0,"Il manque le(s) % de rec. !",""))</f>
        <v/>
      </c>
      <c r="W37" s="219"/>
      <c r="Y37" s="220" t="str">
        <f aca="false">IF(A37="new.cod","NEWCOD",IF(AND((Z37=""),ISTEXT(A37)),A37,IF(Z37="","",INDEX('[1]liste reference'!$A$8:$A$904,Z37))))</f>
        <v>CRACOM</v>
      </c>
      <c r="Z37" s="10" t="n">
        <f aca="false">IF(ISERROR(MATCH(A37,'[1]liste reference'!$A$8:$A$904,0)),IF(ISERROR(MATCH(A37,'[1]liste reference'!$B$8:$B$904,0)),"",(MATCH(A37,'[1]liste reference'!$B$8:$B$904,0))),(MATCH(A37,'[1]liste reference'!$A$8:$A$904,0)))</f>
        <v>177</v>
      </c>
      <c r="AA37" s="221"/>
      <c r="AB37" s="222"/>
      <c r="AC37" s="222"/>
      <c r="BB37" s="10" t="n">
        <f aca="false">IF(A37="","",1)</f>
        <v>1</v>
      </c>
    </row>
    <row r="38" customFormat="false" ht="12.75" hidden="false" customHeight="false" outlineLevel="0" collapsed="false">
      <c r="A38" s="223" t="s">
        <v>90</v>
      </c>
      <c r="B38" s="224" t="n">
        <v>0.01</v>
      </c>
      <c r="C38" s="225"/>
      <c r="D38" s="207" t="str">
        <f aca="false">IF(ISERROR(VLOOKUP($A38,'[1]liste reference'!$A$7:$D$904,2,0)),IF(ISERROR(VLOOKUP($A38,'[1]liste reference'!$B$7:$D$904,1,0)),"",VLOOKUP($A38,'[1]liste reference'!$B$7:$D$904,1,0)),VLOOKUP($A38,'[1]liste reference'!$A$7:$D$904,2,0))</f>
        <v>Agrostis stolonifera</v>
      </c>
      <c r="E38" s="226" t="e">
        <f aca="false">IF(D38="",0,VLOOKUP(D38,D$22:D37,1,0))</f>
        <v>#N/A</v>
      </c>
      <c r="F38" s="231" t="n">
        <f aca="false">($B38*$B$7+$C38*$C$7)/100</f>
        <v>0.01</v>
      </c>
      <c r="G38" s="209" t="str">
        <f aca="false">IF(A38="","",IF(ISERROR(VLOOKUP($A38,'[1]liste reference'!$A$7:$P$904,13,0)),IF(ISERROR(VLOOKUP($A38,'[1]liste reference'!$B$7:$P$904,12,0)),"    -",VLOOKUP($A38,'[1]liste reference'!$B$7:$P$904,12,0)),VLOOKUP($A38,'[1]liste reference'!$A$7:$P$904,13,0)))</f>
        <v>PHe</v>
      </c>
      <c r="H38" s="210" t="n">
        <f aca="false">IF(A38="","x",IF(ISERROR(VLOOKUP($A38,'[1]liste reference'!$A$8:$P$904,14,0)),IF(ISERROR(VLOOKUP($A38,'[1]liste reference'!$B$8:$P$904,13,0)),"x",VLOOKUP($A38,'[1]liste reference'!$B$8:$P$904,13,0)),VLOOKUP($A38,'[1]liste reference'!$A$8:$P$904,14,0)))</f>
        <v>8</v>
      </c>
      <c r="I38" s="211" t="n">
        <f aca="false">IF(ISNUMBER(H38),IF(ISERROR(VLOOKUP($A38,'[1]liste reference'!$A$7:$P$904,3,0)),IF(ISERROR(VLOOKUP($A38,'[1]liste reference'!$B$7:$P$904,2,0)),"",VLOOKUP($A38,'[1]liste reference'!$B$7:$P$904,2,0)),VLOOKUP($A38,'[1]liste reference'!$A$7:$P$904,3,0)),"")</f>
        <v>10</v>
      </c>
      <c r="J38" s="211" t="n">
        <f aca="false">IF(ISNUMBER(H38),IF(ISERROR(VLOOKUP($A38,'[1]liste reference'!$A$7:$P$904,4,0)),IF(ISERROR(VLOOKUP($A38,'[1]liste reference'!$B$7:$P$904,3,0)),"",VLOOKUP($A38,'[1]liste reference'!$B$7:$P$904,3,0)),VLOOKUP($A38,'[1]liste reference'!$A$7:$P$904,4,0)),"")</f>
        <v>1</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Agrostis stolonifera</v>
      </c>
      <c r="L38" s="228"/>
      <c r="M38" s="228"/>
      <c r="N38" s="228"/>
      <c r="O38" s="214"/>
      <c r="P38" s="215" t="n">
        <f aca="false">IF($A38="NEWCOD",IF($AC38="","No",$AC38),IF(ISTEXT($E38),"DEJA SAISI !",IF($A38="","",IF(ISERROR(VLOOKUP($A38,'[1]liste reference'!A$1:S$1048576,19,FALSE())),IF(ISERROR(VLOOKUP($A38,'[1]liste reference'!B$1:S$1048576,19,FALSE())),"",VLOOKUP($A38,'[1]liste reference'!B$1:S$1048576,19,FALSE())),VLOOKUP($A38,'[1]liste reference'!A$1:S$1048576,19,FALSE())))))</f>
        <v>1543</v>
      </c>
      <c r="Q38" s="216" t="n">
        <f aca="false">IF(ISTEXT(H38),"",(B38*$B$7/100)+(C38*$C$7/100))</f>
        <v>0.01</v>
      </c>
      <c r="R38" s="217" t="n">
        <f aca="false">IF(OR(ISTEXT(H38),Q38=0),"",IF(Q38&lt;0.1,1,IF(Q38&lt;1,2,IF(Q38&lt;10,3,IF(Q38&lt;50,4,IF(Q38&gt;=50,5,""))))))</f>
        <v>1</v>
      </c>
      <c r="S38" s="217" t="n">
        <f aca="false">IF(ISERROR(R38*I38),0,R38*I38)</f>
        <v>10</v>
      </c>
      <c r="T38" s="217" t="n">
        <f aca="false">IF(ISERROR(R38*I38*J38),0,R38*I38*J38)</f>
        <v>10</v>
      </c>
      <c r="U38" s="229" t="n">
        <f aca="false">IF(ISERROR(R38*J38),0,R38*J38)</f>
        <v>1</v>
      </c>
      <c r="V38" s="218" t="str">
        <f aca="false">IF(AND(A38="",F38=0),"",IF(F38=0,"Il manque le(s) % de rec. !",""))</f>
        <v/>
      </c>
      <c r="W38" s="219"/>
      <c r="Y38" s="220" t="str">
        <f aca="false">IF(A38="new.cod","NEWCOD",IF(AND((Z38=""),ISTEXT(A38)),A38,IF(Z38="","",INDEX('[1]liste reference'!$A$8:$A$904,Z38))))</f>
        <v>AGRSTO</v>
      </c>
      <c r="Z38" s="10" t="n">
        <f aca="false">IF(ISERROR(MATCH(A38,'[1]liste reference'!$A$8:$A$904,0)),IF(ISERROR(MATCH(A38,'[1]liste reference'!$B$8:$B$904,0)),"",(MATCH(A38,'[1]liste reference'!$B$8:$B$904,0))),(MATCH(A38,'[1]liste reference'!$A$8:$A$904,0)))</f>
        <v>514</v>
      </c>
      <c r="AA38" s="221"/>
      <c r="AB38" s="222"/>
      <c r="AC38" s="222"/>
      <c r="BB38" s="10" t="n">
        <f aca="false">IF(A38="","",1)</f>
        <v>1</v>
      </c>
    </row>
    <row r="39" customFormat="false" ht="12.75" hidden="false" customHeight="false" outlineLevel="0" collapsed="false">
      <c r="A39" s="223"/>
      <c r="B39" s="232"/>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2"/>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2"/>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2"/>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2"/>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2"/>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2"/>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2"/>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2"/>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2"/>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2"/>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2"/>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2"/>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2"/>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2"/>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2"/>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2"/>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2"/>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2"/>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2"/>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2"/>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2"/>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2"/>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2"/>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2"/>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2"/>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2"/>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2"/>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2"/>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2"/>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2"/>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2"/>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2"/>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2"/>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2"/>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2"/>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2"/>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2"/>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2"/>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2"/>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2"/>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2"/>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2"/>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91</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Siagne</v>
      </c>
      <c r="B84" s="260" t="str">
        <f aca="false">C3</f>
        <v>St Cézaire</v>
      </c>
      <c r="C84" s="261" t="n">
        <f aca="false">A4</f>
        <v>39655</v>
      </c>
      <c r="D84" s="262" t="n">
        <f aca="false">IF(ISERROR(SUM($T$23:$T$82)/SUM($U$23:$U$82)),"",SUM($T$23:$T$82)/SUM($U$23:$U$82))</f>
        <v>10.7631578947368</v>
      </c>
      <c r="E84" s="263" t="n">
        <f aca="false">N13</f>
        <v>16</v>
      </c>
      <c r="F84" s="260" t="n">
        <f aca="false">N14</f>
        <v>15</v>
      </c>
      <c r="G84" s="260" t="n">
        <f aca="false">N15</f>
        <v>10</v>
      </c>
      <c r="H84" s="260" t="n">
        <f aca="false">N16</f>
        <v>5</v>
      </c>
      <c r="I84" s="260" t="n">
        <f aca="false">N17</f>
        <v>0</v>
      </c>
      <c r="J84" s="264" t="n">
        <f aca="false">N8</f>
        <v>10.2666666666667</v>
      </c>
      <c r="K84" s="262" t="n">
        <f aca="false">N9</f>
        <v>2.9992591677872</v>
      </c>
      <c r="L84" s="263" t="n">
        <f aca="false">N10</f>
        <v>4</v>
      </c>
      <c r="M84" s="263" t="n">
        <f aca="false">N11</f>
        <v>15</v>
      </c>
      <c r="N84" s="262" t="n">
        <f aca="false">O8</f>
        <v>1.33333333333333</v>
      </c>
      <c r="O84" s="262" t="n">
        <f aca="false">O9</f>
        <v>0.471404520791032</v>
      </c>
      <c r="P84" s="263" t="n">
        <f aca="false">O10</f>
        <v>1</v>
      </c>
      <c r="Q84" s="263" t="n">
        <f aca="false">O11</f>
        <v>2</v>
      </c>
      <c r="R84" s="263" t="n">
        <f aca="false">F21</f>
        <v>2.92</v>
      </c>
      <c r="S84" s="263" t="n">
        <f aca="false">K11</f>
        <v>0</v>
      </c>
      <c r="T84" s="263" t="n">
        <f aca="false">K12</f>
        <v>9</v>
      </c>
      <c r="U84" s="263" t="n">
        <f aca="false">K13</f>
        <v>6</v>
      </c>
      <c r="V84" s="265" t="n">
        <f aca="false">K14</f>
        <v>0</v>
      </c>
      <c r="W84" s="266" t="n">
        <f aca="false">K15</f>
        <v>1</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92</v>
      </c>
      <c r="R86" s="10"/>
      <c r="S86" s="218"/>
      <c r="T86" s="10"/>
      <c r="U86" s="10"/>
      <c r="V86" s="10"/>
    </row>
    <row r="87" customFormat="false" ht="12.75" hidden="true" customHeight="false" outlineLevel="0" collapsed="false">
      <c r="P87" s="10"/>
      <c r="Q87" s="10" t="s">
        <v>93</v>
      </c>
      <c r="R87" s="10"/>
      <c r="S87" s="218" t="n">
        <f aca="false">VLOOKUP(MAX($S$23:$S$82),($S$23:$U$82),1,0)</f>
        <v>30</v>
      </c>
      <c r="T87" s="10"/>
      <c r="U87" s="10"/>
      <c r="V87" s="10"/>
    </row>
    <row r="88" customFormat="false" ht="12.75" hidden="true" customHeight="false" outlineLevel="0" collapsed="false">
      <c r="P88" s="10"/>
      <c r="Q88" s="10" t="s">
        <v>94</v>
      </c>
      <c r="R88" s="10"/>
      <c r="S88" s="218" t="n">
        <f aca="false">VLOOKUP((S87),($S$23:$U$82),2,0)</f>
        <v>60</v>
      </c>
      <c r="T88" s="10"/>
      <c r="U88" s="10"/>
      <c r="V88" s="10"/>
    </row>
    <row r="89" customFormat="false" ht="12.75" hidden="true" customHeight="false" outlineLevel="0" collapsed="false">
      <c r="Q89" s="10" t="s">
        <v>95</v>
      </c>
      <c r="R89" s="10"/>
      <c r="S89" s="218" t="n">
        <f aca="false">VLOOKUP((S87),($S$23:$U$82),3,0)</f>
        <v>4</v>
      </c>
      <c r="T89" s="10"/>
    </row>
    <row r="90" customFormat="false" ht="12.75" hidden="false" customHeight="false" outlineLevel="0" collapsed="false">
      <c r="Q90" s="10" t="s">
        <v>96</v>
      </c>
      <c r="R90" s="10"/>
      <c r="S90" s="269" t="n">
        <f aca="false">IF(ISERROR(SUM($T$23:$T$82)/SUM($U$23:$U$82)),"",(SUM($T$23:$T$82)-S88)/(SUM($U$23:$U$82)-S89))</f>
        <v>10.2647058823529</v>
      </c>
      <c r="T90" s="10"/>
    </row>
    <row r="91" customFormat="false" ht="12.75" hidden="false" customHeight="false" outlineLevel="0" collapsed="false">
      <c r="Q91" s="217" t="s">
        <v>97</v>
      </c>
      <c r="R91" s="217"/>
      <c r="S91" s="217" t="str">
        <f aca="false">INDEX('[1]liste reference'!$A$8:$A$904,$T$91)</f>
        <v>CINAQU</v>
      </c>
      <c r="T91" s="10" t="n">
        <f aca="false">IF(ISERROR(MATCH($S$93,'[1]liste reference'!$A$8:$A$904,0)),MATCH($S$93,'[1]liste reference'!$B$8:$B$904,0),(MATCH($S$93,'[1]liste reference'!$A$8:$A$904,0)))</f>
        <v>170</v>
      </c>
      <c r="U91" s="258"/>
    </row>
    <row r="92" customFormat="false" ht="12.75" hidden="false" customHeight="false" outlineLevel="0" collapsed="false">
      <c r="Q92" s="10" t="s">
        <v>98</v>
      </c>
      <c r="R92" s="10"/>
      <c r="S92" s="10" t="n">
        <f aca="false">MATCH(S87,$S$23:$S$82,0)</f>
        <v>14</v>
      </c>
      <c r="T92" s="10"/>
    </row>
    <row r="93" customFormat="false" ht="12.75" hidden="false" customHeight="false" outlineLevel="0" collapsed="false">
      <c r="Q93" s="217" t="s">
        <v>99</v>
      </c>
      <c r="R93" s="10"/>
      <c r="S93" s="217" t="str">
        <f aca="false">INDEX($A$23:$A$82,$S$92)</f>
        <v>CINAQU</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9:A82">
    <cfRule type="expression" priority="2" aboveAverage="0" equalAverage="0" bottom="0" percent="0" rank="0" text="" dxfId="0">
      <formula>ISTEXT($E39)</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8">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2013-10-24T16:58:47Z</dcterms:created>
  <dc:creator>elise.carnet</dc:creator>
  <dc:description/>
  <dc:language>fr-FR</dc:language>
  <cp:lastModifiedBy>elise.carnet</cp:lastModifiedBy>
  <dcterms:modified xsi:type="dcterms:W3CDTF">2013-10-24T16:58:58Z</dcterms:modified>
  <cp:revision>0</cp:revision>
  <dc:subject/>
  <dc:title/>
</cp:coreProperties>
</file>