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iagne-St-Cezaire" sheetId="1" state="visible" r:id="rId3"/>
  </sheets>
  <externalReferences>
    <externalReference r:id="rId4"/>
  </externalReferences>
  <definedNames>
    <definedName function="false" hidden="false" localSheetId="0" name="_xlnm.Print_Area" vbProcedure="false">'Siagne-St-Cezaire'!$A$1:$O$82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'Siagne-St-Cezaire'!$A$23:$J$84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<sst xmlns="http://schemas.openxmlformats.org/spreadsheetml/2006/main" count="95" uniqueCount="91">
  <si>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</si>
  <si>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</si>
  <si>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</si>
  <si>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</si>
  <si>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</si>
  <si>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Siagne</t>
  </si>
  <si>
    <t xml:space="preserve">St Cézaire</t>
  </si>
  <si>
    <t xml:space="preserve">06207400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</si>
  <si>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</si>
  <si>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</si>
  <si>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</si>
  <si>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</si>
  <si>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</si>
  <si>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</si>
  <si>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</si>
  <si>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CIN.AQU</t>
  </si>
  <si>
    <t xml:space="preserve">Type de faciès</t>
  </si>
  <si>
    <t xml:space="preserve">radier</t>
  </si>
  <si>
    <t xml:space="preserve">niv. trophique:</t>
  </si>
  <si>
    <t xml:space="preserve">moyen</t>
  </si>
  <si>
    <t xml:space="preserve">(moyen)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</si>
  <si>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</si>
  <si>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</si>
  <si>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</si>
  <si>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</si>
  <si>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</si>
  <si>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</si>
  <si>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</si>
  <si>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</si>
  <si>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</si>
  <si>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</si>
  <si>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</si>
  <si>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</si>
  <si>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</si>
  <si>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</si>
  <si>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</si>
  <si>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</si>
  <si>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</si>
  <si>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</si>
  <si>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</si>
  <si>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</si>
  <si>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</si>
  <si>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</si>
  <si>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</si>
  <si>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</si>
  <si>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</si>
  <si>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</si>
  <si>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</si>
  <si>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</si>
  <si>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</si>
  <si>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</si>
  <si>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</si>
  <si>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</si>
  <si>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</si>
  <si>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</si>
  <si>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</si>
  <si>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</si>
  <si>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</si>
  <si>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</si>
  <si>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</si>
  <si>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</si>
  <si>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</si>
  <si>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</si>
  <si>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</si>
  <si>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</si>
  <si>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</si>
  <si>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</si>
  <si>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</si>
  <si>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</si>
  <si>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</si>
  <si>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</si>
  <si>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</si>
  <si>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</si>
  <si>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LYN.SPX</t>
  </si>
  <si>
    <t xml:space="preserve">OED.SPX</t>
  </si>
  <si>
    <t xml:space="preserve">VAU.SPX</t>
  </si>
  <si>
    <t xml:space="preserve">CLA.SPX</t>
  </si>
  <si>
    <t xml:space="preserve">MIC.SPX</t>
  </si>
  <si>
    <t xml:space="preserve">CRA.COM</t>
  </si>
  <si>
    <t xml:space="preserve">AMB.RIP</t>
  </si>
  <si>
    <t xml:space="preserve">RHY.RIP</t>
  </si>
  <si>
    <t xml:space="preserve">FIS.CRA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</si>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</sst>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2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2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2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6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7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0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0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2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3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4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6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5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7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5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Argens-Chateauvert"/><sheetName val="Asse-Beynes"/><sheetName val="Bes-Barles"/><sheetName val="Esteron-Gilette"/><sheetName val="Gapeau-Belgentier"/><sheetName val="Lez-Taulignan"/><sheetName val="Loup-Courmes"/><sheetName val="Loup-Tourette"/><sheetName val="Méouges"/><sheetName val="Nartuby-Chateaudouble"/><sheetName val="Paillon-Conte-Coaraze"/><sheetName val="Real-Collobrier-Collobrieres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40021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10.9714285714286</v>
      </c>
      <c r="M5" s="52"/>
      <c r="N5" s="53" t="s">
        <v>15</v>
      </c>
      <c r="O5" s="54" t="n">
        <v>10.1379310344828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9.7</v>
      </c>
      <c r="O8" s="83" t="n">
        <f aca="false">AVERAGE(J23:J82)</f>
        <v>1.7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4.13790070231539</v>
      </c>
      <c r="O9" s="83" t="n">
        <f aca="false">STDEV(J23:J82)</f>
        <v>0.483045891539648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4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15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0.05</v>
      </c>
      <c r="C12" s="118"/>
      <c r="D12" s="110"/>
      <c r="E12" s="110"/>
      <c r="F12" s="111" t="n">
        <f aca="false">($B12*$B$7+$C12*$C$7)/100</f>
        <v>0.05</v>
      </c>
      <c r="G12" s="119"/>
      <c r="H12" s="67"/>
      <c r="I12" s="120" t="s">
        <v>36</v>
      </c>
      <c r="J12" s="120"/>
      <c r="K12" s="114" t="n">
        <f aca="false">COUNTIF($G$23:$G$82,"=ALG")</f>
        <v>5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5.5</v>
      </c>
      <c r="C13" s="118"/>
      <c r="D13" s="110"/>
      <c r="E13" s="110"/>
      <c r="F13" s="111" t="n">
        <f aca="false">($B13*$B$7+$C13*$C$7)/100</f>
        <v>5.5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5</v>
      </c>
      <c r="L13" s="115"/>
      <c r="M13" s="125" t="s">
        <v>39</v>
      </c>
      <c r="N13" s="126" t="n">
        <f aca="false">COUNTIF(F23:F82,"&gt;0")</f>
        <v>10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</v>
      </c>
      <c r="C14" s="118"/>
      <c r="D14" s="110"/>
      <c r="E14" s="110"/>
      <c r="F14" s="111" t="n">
        <f aca="false">($B14*$B$7+$C14*$C$7)/100</f>
        <v>0</v>
      </c>
      <c r="G14" s="119"/>
      <c r="H14" s="67"/>
      <c r="I14" s="120" t="s">
        <v>41</v>
      </c>
      <c r="J14" s="120"/>
      <c r="K14" s="114" t="n">
        <f aca="false">COUNTIF($G$23:$G$82,"=PTE")</f>
        <v>0</v>
      </c>
      <c r="L14" s="115"/>
      <c r="M14" s="128" t="s">
        <v>42</v>
      </c>
      <c r="N14" s="129" t="n">
        <f aca="false">COUNTIF($I$23:$I$82,"&gt;-1")</f>
        <v>10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</v>
      </c>
      <c r="C15" s="133"/>
      <c r="D15" s="110"/>
      <c r="E15" s="110"/>
      <c r="F15" s="111" t="n">
        <f aca="false">($B15*$B$7+$C15*$C$7)/100</f>
        <v>0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4" t="s">
        <v>45</v>
      </c>
      <c r="N15" s="135" t="n">
        <f aca="false">COUNTIF(J23:J82,"=1")</f>
        <v>3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7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5.55</v>
      </c>
      <c r="C17" s="118"/>
      <c r="D17" s="110"/>
      <c r="E17" s="110"/>
      <c r="F17" s="140"/>
      <c r="G17" s="111" t="n">
        <f aca="false">($B17*$B$7+$C17*$C$7)/100</f>
        <v>5.55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</v>
      </c>
      <c r="C18" s="143"/>
      <c r="D18" s="110"/>
      <c r="E18" s="144" t="s">
        <v>51</v>
      </c>
      <c r="F18" s="140"/>
      <c r="G18" s="111" t="n">
        <f aca="false">($B18*$B$7+$C18*$C$7)/100</f>
        <v>0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5.55</v>
      </c>
      <c r="G19" s="152" t="n">
        <f aca="false">SUM(G16:G18)</f>
        <v>5.55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5.55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5.55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5.55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5.55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Lyngbya sp.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10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2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Lyngbya sp.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10</v>
      </c>
      <c r="S23" s="208" t="n">
        <f aca="false">IF(ISERROR(Q23*I23*J23),0,Q23*I23*J23)</f>
        <v>20</v>
      </c>
      <c r="T23" s="208" t="n">
        <f aca="false">IF(ISERROR(Q23*J23),0,Q23*J23)</f>
        <v>2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LYN.SPX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36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Oedogonium sp.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6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2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Oedogonium sp.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6</v>
      </c>
      <c r="S24" s="208" t="n">
        <f aca="false">IF(ISERROR(Q24*I24*J24),0,Q24*I24*J24)</f>
        <v>12</v>
      </c>
      <c r="T24" s="223" t="n">
        <f aca="false">IF(ISERROR(Q24*J24),0,Q24*J24)</f>
        <v>2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OED.SPX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56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Vaucheria sp.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4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Vaucheria sp.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4</v>
      </c>
      <c r="S25" s="208" t="n">
        <f aca="false">IF(ISERROR(Q25*I25*J25),0,Q25*I25*J25)</f>
        <v>4</v>
      </c>
      <c r="T25" s="223" t="n">
        <f aca="false">IF(ISERROR(Q25*J25),0,Q25*J25)</f>
        <v>1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VAU.SPX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83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Cladophora sp. 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6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Cladophora sp. 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6</v>
      </c>
      <c r="S26" s="208" t="n">
        <f aca="false">IF(ISERROR(Q26*I26*J26),0,Q26*I26*J26)</f>
        <v>6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CLA.SPX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24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77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Microspora sp.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ALG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2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12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Microspora sp.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12</v>
      </c>
      <c r="S27" s="208" t="n">
        <f aca="false">IF(ISERROR(Q27*I27*J27),0,Q27*I27*J27)</f>
        <v>24</v>
      </c>
      <c r="T27" s="223" t="n">
        <f aca="false">IF(ISERROR(Q27*J27),0,Q27*J27)</f>
        <v>2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MIC.SPX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42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15</v>
      </c>
      <c r="B28" s="215" t="n">
        <v>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Cinclidotus aquaticus</v>
      </c>
      <c r="E28" s="217" t="e">
        <f aca="false">IF(D28="",0,VLOOKUP(D28,D$22:D27,1,0))</f>
        <v>#N/A</v>
      </c>
      <c r="F28" s="218" t="n">
        <f aca="false">($B28*$B$7+$C28*$C$7)/100</f>
        <v>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BRm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5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15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2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Cinclidotus aquaticus</v>
      </c>
      <c r="L28" s="222"/>
      <c r="M28" s="222"/>
      <c r="N28" s="222"/>
      <c r="O28" s="206"/>
      <c r="P28" s="207" t="n">
        <f aca="false">IF(ISTEXT(H28),"",(B28*$B$7/100)+(C28*$C$7/100))</f>
        <v>1</v>
      </c>
      <c r="Q28" s="208" t="n">
        <f aca="false">IF(OR(ISTEXT(H28),P28=0),"",IF(P28&lt;0.1,1,IF(P28&lt;1,2,IF(P28&lt;10,3,IF(P28&lt;50,4,IF(P28&gt;=50,5,""))))))</f>
        <v>3</v>
      </c>
      <c r="R28" s="208" t="n">
        <f aca="false">IF(ISERROR(Q28*I28),0,Q28*I28)</f>
        <v>45</v>
      </c>
      <c r="S28" s="208" t="n">
        <f aca="false">IF(ISERROR(Q28*I28*J28),0,Q28*I28*J28)</f>
        <v>90</v>
      </c>
      <c r="T28" s="223" t="n">
        <f aca="false">IF(ISERROR(Q28*J28),0,Q28*J28)</f>
        <v>6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CIN.AQU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171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78</v>
      </c>
      <c r="B29" s="215" t="n">
        <v>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Cratoneuron commutatum</v>
      </c>
      <c r="E29" s="217" t="e">
        <f aca="false">IF(D29="",0,VLOOKUP(D29,D$22:D28,1,0))</f>
        <v>#N/A</v>
      </c>
      <c r="F29" s="218" t="n">
        <f aca="false">($B29*$B$7+$C29*$C$7)/100</f>
        <v>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BRm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5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15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2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Cratoneuron commutatum</v>
      </c>
      <c r="L29" s="222"/>
      <c r="M29" s="222"/>
      <c r="N29" s="222"/>
      <c r="O29" s="206"/>
      <c r="P29" s="207" t="n">
        <f aca="false">IF(ISTEXT(H29),"",(B29*$B$7/100)+(C29*$C$7/100))</f>
        <v>1</v>
      </c>
      <c r="Q29" s="208" t="n">
        <f aca="false">IF(OR(ISTEXT(H29),P29=0),"",IF(P29&lt;0.1,1,IF(P29&lt;1,2,IF(P29&lt;10,3,IF(P29&lt;50,4,IF(P29&gt;=50,5,""))))))</f>
        <v>3</v>
      </c>
      <c r="R29" s="208" t="n">
        <f aca="false">IF(ISERROR(Q29*I29),0,Q29*I29)</f>
        <v>45</v>
      </c>
      <c r="S29" s="208" t="n">
        <f aca="false">IF(ISERROR(Q29*I29*J29),0,Q29*I29*J29)</f>
        <v>90</v>
      </c>
      <c r="T29" s="223" t="n">
        <f aca="false">IF(ISERROR(Q29*J29),0,Q29*J29)</f>
        <v>6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CRA.COM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178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Amblystegium riparium (Leptodictyum riparium)</v>
      </c>
      <c r="E30" s="217" t="e">
        <f aca="false">IF(D30="",0,VLOOKUP(D30,D$22:D29,1,0))</f>
        <v>#N/A</v>
      </c>
      <c r="F30" s="218" t="n">
        <f aca="false">($B30*$B$7+$C30*$C$7)/100</f>
        <v>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BRm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5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5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2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Amblystegium riparium (Leptodictyum riparium)</v>
      </c>
      <c r="L30" s="222"/>
      <c r="M30" s="222"/>
      <c r="N30" s="222"/>
      <c r="O30" s="206"/>
      <c r="P30" s="207" t="n">
        <f aca="false">IF(ISTEXT(H30),"",(B30*$B$7/100)+(C30*$C$7/100))</f>
        <v>1</v>
      </c>
      <c r="Q30" s="208" t="n">
        <f aca="false">IF(OR(ISTEXT(H30),P30=0),"",IF(P30&lt;0.1,1,IF(P30&lt;1,2,IF(P30&lt;10,3,IF(P30&lt;50,4,IF(P30&gt;=50,5,""))))))</f>
        <v>3</v>
      </c>
      <c r="R30" s="208" t="n">
        <f aca="false">IF(ISERROR(Q30*I30),0,Q30*I30)</f>
        <v>15</v>
      </c>
      <c r="S30" s="208" t="n">
        <f aca="false">IF(ISERROR(Q30*I30*J30),0,Q30*I30*J30)</f>
        <v>30</v>
      </c>
      <c r="T30" s="223" t="n">
        <f aca="false">IF(ISERROR(Q30*J30),0,Q30*J30)</f>
        <v>6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AMB.RIP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149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Rhynchostegium riparioides (Platyhypnidium rusciforme)</v>
      </c>
      <c r="E31" s="217" t="e">
        <f aca="false">IF(D31="",0,VLOOKUP(D31,D$21:D30,1,0))</f>
        <v>#N/A</v>
      </c>
      <c r="F31" s="218" t="n">
        <f aca="false">($B31*$B$7+$C31*$C$7)/100</f>
        <v>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BRm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5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12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1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Rhynchostegium riparioides (Platyhypnidium rusciforme)</v>
      </c>
      <c r="L31" s="222"/>
      <c r="M31" s="222"/>
      <c r="N31" s="222"/>
      <c r="O31" s="206"/>
      <c r="P31" s="207" t="n">
        <f aca="false">IF(ISTEXT(H31),"",(B31*$B$7/100)+(C31*$C$7/100))</f>
        <v>1</v>
      </c>
      <c r="Q31" s="208" t="n">
        <f aca="false">IF(OR(ISTEXT(H31),P31=0),"",IF(P31&lt;0.1,1,IF(P31&lt;1,2,IF(P31&lt;10,3,IF(P31&lt;50,4,IF(P31&gt;=50,5,""))))))</f>
        <v>3</v>
      </c>
      <c r="R31" s="208" t="n">
        <f aca="false">IF(ISERROR(Q31*I31),0,Q31*I31)</f>
        <v>36</v>
      </c>
      <c r="S31" s="208" t="n">
        <f aca="false">IF(ISERROR(Q31*I31*J31),0,Q31*I31*J31)</f>
        <v>36</v>
      </c>
      <c r="T31" s="223" t="n">
        <f aca="false">IF(ISERROR(Q31*J31),0,Q31*J31)</f>
        <v>3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RHY.RIP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253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81</v>
      </c>
      <c r="B32" s="215" t="n">
        <v>1.5</v>
      </c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Fissidens crassipes</v>
      </c>
      <c r="E32" s="217" t="e">
        <f aca="false">IF(D32="",0,VLOOKUP(D32,D$22:D31,1,0))</f>
        <v>#N/A</v>
      </c>
      <c r="F32" s="218" t="n">
        <f aca="false">($B32*$B$7+$C32*$C$7)/100</f>
        <v>1.5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BRm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5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12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2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Fissidens crassipes</v>
      </c>
      <c r="L32" s="222"/>
      <c r="M32" s="222"/>
      <c r="N32" s="222"/>
      <c r="O32" s="206"/>
      <c r="P32" s="207" t="n">
        <f aca="false">IF(ISTEXT(H32),"",(B32*$B$7/100)+(C32*$C$7/100))</f>
        <v>1.5</v>
      </c>
      <c r="Q32" s="208" t="n">
        <f aca="false">IF(OR(ISTEXT(H32),P32=0),"",IF(P32&lt;0.1,1,IF(P32&lt;1,2,IF(P32&lt;10,3,IF(P32&lt;50,4,IF(P32&gt;=50,5,""))))))</f>
        <v>3</v>
      </c>
      <c r="R32" s="208" t="n">
        <f aca="false">IF(ISERROR(Q32*I32),0,Q32*I32)</f>
        <v>36</v>
      </c>
      <c r="S32" s="208" t="n">
        <f aca="false">IF(ISERROR(Q32*I32*J32),0,Q32*I32*J32)</f>
        <v>72</v>
      </c>
      <c r="T32" s="223" t="n">
        <f aca="false">IF(ISERROR(Q32*J32),0,Q32*J32)</f>
        <v>6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FIS.CRA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198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82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Siagne</v>
      </c>
      <c r="B84" s="247" t="str">
        <f aca="false">C3</f>
        <v>St Cézaire</v>
      </c>
      <c r="C84" s="248" t="n">
        <f aca="false">A4</f>
        <v>40021</v>
      </c>
      <c r="D84" s="249" t="n">
        <f aca="false">IF(ISERROR(SUM($S$23:$S$82)/SUM($T$23:$T$82)),"",SUM($S$23:$S$82)/SUM($T$23:$T$82))</f>
        <v>10.9714285714286</v>
      </c>
      <c r="E84" s="250" t="n">
        <f aca="false">N13</f>
        <v>10</v>
      </c>
      <c r="F84" s="247" t="n">
        <f aca="false">N14</f>
        <v>10</v>
      </c>
      <c r="G84" s="247" t="n">
        <f aca="false">N15</f>
        <v>3</v>
      </c>
      <c r="H84" s="247" t="n">
        <f aca="false">N16</f>
        <v>7</v>
      </c>
      <c r="I84" s="247" t="n">
        <f aca="false">N17</f>
        <v>0</v>
      </c>
      <c r="J84" s="251" t="n">
        <f aca="false">N8</f>
        <v>9.7</v>
      </c>
      <c r="K84" s="249" t="n">
        <f aca="false">N9</f>
        <v>4.13790070231539</v>
      </c>
      <c r="L84" s="250" t="n">
        <f aca="false">N10</f>
        <v>4</v>
      </c>
      <c r="M84" s="250" t="n">
        <f aca="false">N11</f>
        <v>15</v>
      </c>
      <c r="N84" s="249" t="n">
        <f aca="false">O8</f>
        <v>1.7</v>
      </c>
      <c r="O84" s="249" t="n">
        <f aca="false">O9</f>
        <v>0.483045891539648</v>
      </c>
      <c r="P84" s="250" t="n">
        <f aca="false">O10</f>
        <v>1</v>
      </c>
      <c r="Q84" s="250" t="n">
        <f aca="false">O11</f>
        <v>2</v>
      </c>
      <c r="R84" s="252" t="n">
        <f aca="false">F21</f>
        <v>5.55</v>
      </c>
      <c r="S84" s="250" t="n">
        <f aca="false">K11</f>
        <v>0</v>
      </c>
      <c r="T84" s="250" t="n">
        <f aca="false">K12</f>
        <v>5</v>
      </c>
      <c r="U84" s="250" t="n">
        <f aca="false">K13</f>
        <v>5</v>
      </c>
      <c r="V84" s="253" t="n">
        <f aca="false">K14</f>
        <v>0</v>
      </c>
      <c r="W84" s="254" t="n">
        <f aca="false">K15</f>
        <v>0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83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84</v>
      </c>
      <c r="Q87" s="9"/>
      <c r="R87" s="209" t="n">
        <f aca="false">VLOOKUP(MAX($R$23:$R$82),($R$23:$T$82),1,0)</f>
        <v>45</v>
      </c>
      <c r="S87" s="9"/>
      <c r="T87" s="9"/>
      <c r="U87" s="9"/>
    </row>
    <row r="88" customFormat="false" ht="12.75" hidden="true" customHeight="false" outlineLevel="0" collapsed="false">
      <c r="P88" s="9" t="s">
        <v>85</v>
      </c>
      <c r="Q88" s="9"/>
      <c r="R88" s="209" t="n">
        <f aca="false">VLOOKUP((R87),($R$23:$T$82),2,0)</f>
        <v>90</v>
      </c>
      <c r="S88" s="9"/>
      <c r="T88" s="9"/>
      <c r="U88" s="9"/>
    </row>
    <row r="89" customFormat="false" ht="12.75" hidden="true" customHeight="false" outlineLevel="0" collapsed="false">
      <c r="P89" s="9" t="s">
        <v>86</v>
      </c>
      <c r="Q89" s="9"/>
      <c r="R89" s="209" t="n">
        <f aca="false">VLOOKUP((R87),($R$23:$T$82),3,0)</f>
        <v>6</v>
      </c>
      <c r="S89" s="9"/>
    </row>
    <row r="90" customFormat="false" ht="12.75" hidden="true" customHeight="false" outlineLevel="0" collapsed="false">
      <c r="P90" s="9" t="s">
        <v>87</v>
      </c>
      <c r="Q90" s="9"/>
      <c r="R90" s="257" t="n">
        <f aca="false">IF(ISERROR(SUM($S$23:$S$82)/SUM($T$23:$T$82)),"",(SUM($S$23:$S$82)-R88)/(SUM($T$23:$T$82)-R89))</f>
        <v>10.1379310344828</v>
      </c>
      <c r="S90" s="9"/>
    </row>
    <row r="91" customFormat="false" ht="12.75" hidden="true" customHeight="false" outlineLevel="0" collapsed="false">
      <c r="P91" s="208" t="s">
        <v>88</v>
      </c>
      <c r="Q91" s="208"/>
      <c r="R91" s="208" t="str">
        <f aca="false">INDEX('[1]liste reference'!$A$7:$A$906,$S$91)</f>
        <v>CIN.AQU</v>
      </c>
      <c r="S91" s="9" t="n">
        <f aca="false">IF(ISERROR(MATCH($R$93,'[1]liste reference'!$A$7:$A$906,0)),MATCH($R$93,'[1]liste reference'!$B$7:$B$906,0),(MATCH($R$93,'[1]liste reference'!$A$7:$A$906,0)))</f>
        <v>171</v>
      </c>
      <c r="T91" s="245"/>
    </row>
    <row r="92" customFormat="false" ht="12.75" hidden="true" customHeight="false" outlineLevel="0" collapsed="false">
      <c r="P92" s="9" t="s">
        <v>89</v>
      </c>
      <c r="Q92" s="9"/>
      <c r="R92" s="9" t="n">
        <f aca="false">MATCH(R87,$R$23:$R$82,0)</f>
        <v>6</v>
      </c>
      <c r="S92" s="9"/>
    </row>
    <row r="93" customFormat="false" ht="12.75" hidden="true" customHeight="false" outlineLevel="0" collapsed="false">
      <c r="P93" s="208" t="s">
        <v>90</v>
      </c>
      <c r="Q93" s="9"/>
      <c r="R93" s="208" t="str">
        <f aca="false">INDEX($A$23:$A$82,$R$92)</f>
        <v>CIN.AQU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2013-10-22T12:37:00Z</dcterms:created>
  <dc:creator>elise.carnet</dc:creator>
  <dc:description/>
  <dc:language>fr-FR</dc:language>
  <cp:lastModifiedBy>elise.carnet</cp:lastModifiedBy>
  <dcterms:modified xsi:type="dcterms:W3CDTF">2013-10-22T12:37:19Z</dcterms:modified>
  <cp:revision>0</cp:revision>
  <dc:subject/>
  <dc:title/>
</cp:coreProperties>
</file>