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iagne-Mandelieu" sheetId="1" state="visible" r:id="rId3"/>
  </sheets>
  <externalReferences>
    <externalReference r:id="rId4"/>
  </externalReferences>
  <definedNames>
    <definedName function="false" hidden="false" localSheetId="0" name="_xlnm.Print_Area" vbProcedure="false">'Siagne-Mandelieu'!$A$1:$O$82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'Siagne-Mandelieu'!$A$23:$J$84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0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0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<sst xmlns="http://schemas.openxmlformats.org/spreadsheetml/2006/main" count="99" uniqueCount="95">
  <si>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</si>
  <si>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</si>
  <si>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</si>
  <si>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</si>
  <si>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</si>
  <si>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Siagne</t>
  </si>
  <si>
    <t xml:space="preserve">Mandelieu Lanapoule</t>
  </si>
  <si>
    <t xml:space="preserve">06209900</t>
  </si>
  <si>
    <t xml:space="preserve">RCS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</si>
  <si>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</si>
  <si>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</si>
  <si>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</si>
  <si>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</si>
  <si>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</si>
  <si>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</si>
  <si>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CIN.AQU</t>
  </si>
  <si>
    <t xml:space="preserve">Type de faciès</t>
  </si>
  <si>
    <t xml:space="preserve">autre</t>
  </si>
  <si>
    <t xml:space="preserve">niv. trophique:</t>
  </si>
  <si>
    <t xml:space="preserve">fort</t>
  </si>
  <si>
    <t xml:space="preserve">(fort)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</si>
  <si>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</si>
  <si>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</si>
  <si>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</si>
  <si>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</si>
  <si>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</si>
  <si>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</si>
  <si>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</si>
  <si>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</si>
  <si>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</si>
  <si>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</si>
  <si>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</si>
  <si>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</si>
  <si>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</si>
  <si>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</si>
  <si>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</si>
  <si>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</si>
  <si>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</si>
  <si>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</si>
  <si>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</si>
  <si>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</si>
  <si>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</si>
  <si>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</si>
  <si>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</si>
  <si>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</si>
  <si>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</si>
  <si>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</si>
  <si>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</si>
  <si>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</si>
  <si>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</si>
  <si>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</si>
  <si>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</si>
  <si>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</si>
  <si>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</si>
  <si>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</si>
  <si>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</si>
  <si>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</si>
  <si>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</si>
  <si>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</si>
  <si>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</si>
  <si>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</si>
  <si>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</si>
  <si>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</si>
  <si>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</si>
  <si>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</si>
  <si>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</si>
  <si>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</si>
  <si>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</si>
  <si>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</si>
  <si>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</si>
  <si>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</si>
  <si>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</si>
  <si>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</si>
  <si>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CLA.SPX</t>
  </si>
  <si>
    <t xml:space="preserve">DIA.SPX</t>
  </si>
  <si>
    <t xml:space="preserve">ENT.SPX</t>
  </si>
  <si>
    <t xml:space="preserve">SPI.SPX</t>
  </si>
  <si>
    <t xml:space="preserve">OED.SPX</t>
  </si>
  <si>
    <t xml:space="preserve">OSC.SPX</t>
  </si>
  <si>
    <t xml:space="preserve">STI.SPX</t>
  </si>
  <si>
    <t xml:space="preserve">CIN.FON</t>
  </si>
  <si>
    <t xml:space="preserve">MYR.SPI</t>
  </si>
  <si>
    <t xml:space="preserve">PAS.PAS</t>
  </si>
  <si>
    <t xml:space="preserve">TYP.SPX</t>
  </si>
  <si>
    <t xml:space="preserve">JUN.ART</t>
  </si>
  <si>
    <t xml:space="preserve">LUD.PEP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</si>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</sst>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0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1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1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5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1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1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5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80640</xdr:rowOff>
    </xdr:to>
    <xdr:grpSp>
      <xdr:nvGrpSpPr>
        <xdr:cNvPr id="1" name="Group 7"/>
        <xdr:cNvGrpSpPr/>
      </xdr:nvGrpSpPr>
      <xdr:grpSpPr>
        <a:xfrm>
          <a:off x="8025480" y="9360"/>
          <a:ext cx="941760" cy="433080"/>
          <a:chOff x="8025480" y="9360"/>
          <a:chExt cx="941760" cy="43308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-IBMR-RCS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Ouvèze-Sorgues"/><sheetName val="Eygue-Orange"/><sheetName val="Lez-Mondragon"/><sheetName val="Argens-Thoronet"/><sheetName val="Argens-Roquebrune"/><sheetName val="Verdon-Vinon"/><sheetName val="Var-St-Laurent-Var"/><sheetName val="modele"/><sheetName val="liste codes réf"/><sheetName val="Graphes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40022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9.31428571428572</v>
      </c>
      <c r="M5" s="52"/>
      <c r="N5" s="53" t="s">
        <v>15</v>
      </c>
      <c r="O5" s="54" t="n">
        <v>8.58064516129032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5</v>
      </c>
      <c r="C7" s="66" t="n">
        <v>95</v>
      </c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9.6</v>
      </c>
      <c r="O8" s="83" t="n">
        <f aca="false">AVERAGE(J23:J82)</f>
        <v>1.7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3.74759181934805</v>
      </c>
      <c r="O9" s="83" t="n">
        <f aca="false">STDEV(J23:J82)</f>
        <v>0.483045891539648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3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 t="n">
        <v>0</v>
      </c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15</v>
      </c>
      <c r="O11" s="106" t="n">
        <f aca="false">MAX(J23:J82)</f>
        <v>2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4.05</v>
      </c>
      <c r="C12" s="118" t="n">
        <v>25</v>
      </c>
      <c r="D12" s="110"/>
      <c r="E12" s="110"/>
      <c r="F12" s="111" t="n">
        <f aca="false">($B12*$B$7+$C12*$C$7)/100</f>
        <v>23.9525</v>
      </c>
      <c r="G12" s="119"/>
      <c r="H12" s="67"/>
      <c r="I12" s="120" t="s">
        <v>36</v>
      </c>
      <c r="J12" s="120"/>
      <c r="K12" s="114" t="n">
        <f aca="false">COUNTIF($G$23:$G$82,"=ALG")</f>
        <v>7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25</v>
      </c>
      <c r="C13" s="118" t="n">
        <v>0</v>
      </c>
      <c r="D13" s="110"/>
      <c r="E13" s="110"/>
      <c r="F13" s="111" t="n">
        <f aca="false">($B13*$B$7+$C13*$C$7)/100</f>
        <v>1.25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2</v>
      </c>
      <c r="L13" s="115"/>
      <c r="M13" s="125" t="s">
        <v>39</v>
      </c>
      <c r="N13" s="126" t="n">
        <f aca="false">COUNTIF(F23:F82,"&gt;0")</f>
        <v>14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</v>
      </c>
      <c r="C14" s="118" t="n">
        <v>0</v>
      </c>
      <c r="D14" s="110"/>
      <c r="E14" s="110"/>
      <c r="F14" s="111" t="n">
        <f aca="false">($B14*$B$7+$C14*$C$7)/100</f>
        <v>0</v>
      </c>
      <c r="G14" s="119"/>
      <c r="H14" s="67"/>
      <c r="I14" s="120" t="s">
        <v>41</v>
      </c>
      <c r="J14" s="120"/>
      <c r="K14" s="114" t="n">
        <f aca="false">COUNTIF($G$23:$G$82,"=PTE")</f>
        <v>0</v>
      </c>
      <c r="L14" s="115"/>
      <c r="M14" s="128" t="s">
        <v>42</v>
      </c>
      <c r="N14" s="129" t="n">
        <f aca="false">COUNTIF($I$23:$I$82,"&gt;-1")</f>
        <v>10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0</v>
      </c>
      <c r="C15" s="133" t="n">
        <v>0.05</v>
      </c>
      <c r="D15" s="110"/>
      <c r="E15" s="110"/>
      <c r="F15" s="111" t="n">
        <f aca="false">($B15*$B$7+$C15*$C$7)/100</f>
        <v>0.0475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5</v>
      </c>
      <c r="L15" s="115"/>
      <c r="M15" s="134" t="s">
        <v>45</v>
      </c>
      <c r="N15" s="135" t="n">
        <f aca="false">COUNTIF(J23:J82,"=1")</f>
        <v>3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 t="n">
        <v>0</v>
      </c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7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29.05</v>
      </c>
      <c r="C17" s="118" t="n">
        <v>25.01</v>
      </c>
      <c r="D17" s="110"/>
      <c r="E17" s="110"/>
      <c r="F17" s="140"/>
      <c r="G17" s="111" t="n">
        <f aca="false">($B17*$B$7+$C17*$C$7)/100</f>
        <v>25.212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0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</v>
      </c>
      <c r="C18" s="143" t="n">
        <v>0.04</v>
      </c>
      <c r="D18" s="110"/>
      <c r="E18" s="144" t="s">
        <v>51</v>
      </c>
      <c r="F18" s="140"/>
      <c r="G18" s="111" t="n">
        <f aca="false">($B18*$B$7+$C18*$C$7)/100</f>
        <v>0.038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25.25</v>
      </c>
      <c r="G19" s="152" t="n">
        <f aca="false">SUM(G16:G18)</f>
        <v>25.25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29.05</v>
      </c>
      <c r="C20" s="161" t="n">
        <f aca="false">SUM(C23:C82)</f>
        <v>25.05</v>
      </c>
      <c r="D20" s="162"/>
      <c r="E20" s="163" t="s">
        <v>51</v>
      </c>
      <c r="F20" s="164" t="n">
        <f aca="false">($B20*$B$7+$C20*$C$7)/100</f>
        <v>25.25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1.4525</v>
      </c>
      <c r="C21" s="173" t="n">
        <f aca="false">C20*C7/100</f>
        <v>23.7975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25.25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 t="n">
        <v>2</v>
      </c>
      <c r="C23" s="197" t="n">
        <v>10</v>
      </c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Cladophora sp. </v>
      </c>
      <c r="E23" s="198" t="e">
        <f aca="false">IF(D23="",0,VLOOKUP(D23,D$22:D22,1,0))</f>
        <v>#N/A</v>
      </c>
      <c r="F23" s="199" t="n">
        <f aca="false">($B23*$B$7+$C23*$C$7)/100</f>
        <v>9.6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6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1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Cladophora sp. </v>
      </c>
      <c r="L23" s="205"/>
      <c r="M23" s="205"/>
      <c r="N23" s="205"/>
      <c r="O23" s="206"/>
      <c r="P23" s="207" t="n">
        <f aca="false">IF(ISTEXT(H23),"",(B23*$B$7/100)+(C23*$C$7/100))</f>
        <v>9.6</v>
      </c>
      <c r="Q23" s="208" t="n">
        <f aca="false">IF(OR(ISTEXT(H23),P23=0),"",IF(P23&lt;0.1,1,IF(P23&lt;1,2,IF(P23&lt;10,3,IF(P23&lt;50,4,IF(P23&gt;=50,5,""))))))</f>
        <v>3</v>
      </c>
      <c r="R23" s="208" t="n">
        <f aca="false">IF(ISERROR(Q23*I23),0,Q23*I23)</f>
        <v>18</v>
      </c>
      <c r="S23" s="208" t="n">
        <f aca="false">IF(ISERROR(Q23*I23*J23),0,Q23*I23*J23)</f>
        <v>18</v>
      </c>
      <c r="T23" s="208" t="n">
        <f aca="false">IF(ISERROR(Q23*J23),0,Q23*J23)</f>
        <v>3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CLA.SPX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24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74</v>
      </c>
      <c r="B24" s="215" t="n">
        <v>0.01</v>
      </c>
      <c r="C24" s="216" t="n">
        <v>1</v>
      </c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Diatoma sp.</v>
      </c>
      <c r="E24" s="217" t="e">
        <f aca="false">IF(D24="",0,VLOOKUP(D24,D$22:D23,1,0))</f>
        <v>#N/A</v>
      </c>
      <c r="F24" s="218" t="n">
        <f aca="false">($B24*$B$7+$C24*$C$7)/100</f>
        <v>0.9505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12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2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Diatoma sp.</v>
      </c>
      <c r="L24" s="222"/>
      <c r="M24" s="222"/>
      <c r="N24" s="222"/>
      <c r="O24" s="206"/>
      <c r="P24" s="207" t="n">
        <f aca="false">IF(ISTEXT(H24),"",(B24*$B$7/100)+(C24*$C$7/100))</f>
        <v>0.9505</v>
      </c>
      <c r="Q24" s="208" t="n">
        <f aca="false">IF(OR(ISTEXT(H24),P24=0),"",IF(P24&lt;0.1,1,IF(P24&lt;1,2,IF(P24&lt;10,3,IF(P24&lt;50,4,IF(P24&gt;=50,5,""))))))</f>
        <v>2</v>
      </c>
      <c r="R24" s="208" t="n">
        <f aca="false">IF(ISERROR(Q24*I24),0,Q24*I24)</f>
        <v>24</v>
      </c>
      <c r="S24" s="208" t="n">
        <f aca="false">IF(ISERROR(Q24*I24*J24),0,Q24*I24*J24)</f>
        <v>48</v>
      </c>
      <c r="T24" s="223" t="n">
        <f aca="false">IF(ISERROR(Q24*J24),0,Q24*J24)</f>
        <v>4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DIA.SPX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27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75</v>
      </c>
      <c r="B25" s="215" t="n">
        <v>2</v>
      </c>
      <c r="C25" s="216" t="n">
        <v>10</v>
      </c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Enteromorpha intestinalis</v>
      </c>
      <c r="E25" s="217" t="e">
        <f aca="false">IF(D25="",0,VLOOKUP(D25,D$22:D24,1,0))</f>
        <v>#N/A</v>
      </c>
      <c r="F25" s="218" t="n">
        <f aca="false">($B25*$B$7+$C25*$C$7)/100</f>
        <v>9.6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3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2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Enteromorpha intestinalis</v>
      </c>
      <c r="L25" s="222"/>
      <c r="M25" s="222"/>
      <c r="N25" s="222"/>
      <c r="O25" s="206"/>
      <c r="P25" s="207" t="n">
        <f aca="false">IF(ISTEXT(H25),"",(B25*$B$7/100)+(C25*$C$7/100))</f>
        <v>9.6</v>
      </c>
      <c r="Q25" s="208" t="n">
        <f aca="false">IF(OR(ISTEXT(H25),P25=0),"",IF(P25&lt;0.1,1,IF(P25&lt;1,2,IF(P25&lt;10,3,IF(P25&lt;50,4,IF(P25&gt;=50,5,""))))))</f>
        <v>3</v>
      </c>
      <c r="R25" s="208" t="n">
        <f aca="false">IF(ISERROR(Q25*I25),0,Q25*I25)</f>
        <v>9</v>
      </c>
      <c r="S25" s="208" t="n">
        <f aca="false">IF(ISERROR(Q25*I25*J25),0,Q25*I25*J25)</f>
        <v>18</v>
      </c>
      <c r="T25" s="223" t="n">
        <f aca="false">IF(ISERROR(Q25*J25),0,Q25*J25)</f>
        <v>6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ENT.SPX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29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76</v>
      </c>
      <c r="B26" s="215" t="n">
        <v>0.01</v>
      </c>
      <c r="C26" s="216" t="n">
        <v>1</v>
      </c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Spirogyra sp.       </v>
      </c>
      <c r="E26" s="217" t="e">
        <f aca="false">IF(D26="",0,VLOOKUP(D26,D$22:D25,1,0))</f>
        <v>#N/A</v>
      </c>
      <c r="F26" s="218" t="n">
        <f aca="false">($B26*$B$7+$C26*$C$7)/100</f>
        <v>0.9505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ALG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2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10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1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Spirogyra sp.       </v>
      </c>
      <c r="L26" s="222"/>
      <c r="M26" s="222"/>
      <c r="N26" s="222"/>
      <c r="O26" s="206"/>
      <c r="P26" s="207" t="n">
        <f aca="false">IF(ISTEXT(H26),"",(B26*$B$7/100)+(C26*$C$7/100))</f>
        <v>0.9505</v>
      </c>
      <c r="Q26" s="208" t="n">
        <f aca="false">IF(OR(ISTEXT(H26),P26=0),"",IF(P26&lt;0.1,1,IF(P26&lt;1,2,IF(P26&lt;10,3,IF(P26&lt;50,4,IF(P26&gt;=50,5,""))))))</f>
        <v>2</v>
      </c>
      <c r="R26" s="208" t="n">
        <f aca="false">IF(ISERROR(Q26*I26),0,Q26*I26)</f>
        <v>20</v>
      </c>
      <c r="S26" s="208" t="n">
        <f aca="false">IF(ISERROR(Q26*I26*J26),0,Q26*I26*J26)</f>
        <v>20</v>
      </c>
      <c r="T26" s="223" t="n">
        <f aca="false">IF(ISERROR(Q26*J26),0,Q26*J26)</f>
        <v>2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SPI.SPX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70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77</v>
      </c>
      <c r="B27" s="215" t="n">
        <v>0.01</v>
      </c>
      <c r="C27" s="216" t="n">
        <v>1</v>
      </c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Oedogonium sp.</v>
      </c>
      <c r="E27" s="217" t="e">
        <f aca="false">IF(D27="",0,VLOOKUP(D27,D$22:D26,1,0))</f>
        <v>#N/A</v>
      </c>
      <c r="F27" s="218" t="n">
        <f aca="false">($B27*$B$7+$C27*$C$7)/100</f>
        <v>0.9505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ALG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2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6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2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Oedogonium sp.</v>
      </c>
      <c r="L27" s="222"/>
      <c r="M27" s="222"/>
      <c r="N27" s="222"/>
      <c r="O27" s="206"/>
      <c r="P27" s="207" t="n">
        <f aca="false">IF(ISTEXT(H27),"",(B27*$B$7/100)+(C27*$C$7/100))</f>
        <v>0.9505</v>
      </c>
      <c r="Q27" s="208" t="n">
        <f aca="false">IF(OR(ISTEXT(H27),P27=0),"",IF(P27&lt;0.1,1,IF(P27&lt;1,2,IF(P27&lt;10,3,IF(P27&lt;50,4,IF(P27&gt;=50,5,""))))))</f>
        <v>2</v>
      </c>
      <c r="R27" s="208" t="n">
        <f aca="false">IF(ISERROR(Q27*I27),0,Q27*I27)</f>
        <v>12</v>
      </c>
      <c r="S27" s="208" t="n">
        <f aca="false">IF(ISERROR(Q27*I27*J27),0,Q27*I27*J27)</f>
        <v>24</v>
      </c>
      <c r="T27" s="223" t="n">
        <f aca="false">IF(ISERROR(Q27*J27),0,Q27*J27)</f>
        <v>4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OED.SPX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56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78</v>
      </c>
      <c r="B28" s="215" t="n">
        <v>0.01</v>
      </c>
      <c r="C28" s="216" t="n">
        <v>1</v>
      </c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Oscillatoria sp.       </v>
      </c>
      <c r="E28" s="217" t="e">
        <f aca="false">IF(D28="",0,VLOOKUP(D28,D$22:D27,1,0))</f>
        <v>#N/A</v>
      </c>
      <c r="F28" s="218" t="n">
        <f aca="false">($B28*$B$7+$C28*$C$7)/100</f>
        <v>0.9505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ALG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2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11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1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Oscillatoria sp.       </v>
      </c>
      <c r="L28" s="222"/>
      <c r="M28" s="222"/>
      <c r="N28" s="222"/>
      <c r="O28" s="206"/>
      <c r="P28" s="207" t="n">
        <f aca="false">IF(ISTEXT(H28),"",(B28*$B$7/100)+(C28*$C$7/100))</f>
        <v>0.9505</v>
      </c>
      <c r="Q28" s="208" t="n">
        <f aca="false">IF(OR(ISTEXT(H28),P28=0),"",IF(P28&lt;0.1,1,IF(P28&lt;1,2,IF(P28&lt;10,3,IF(P28&lt;50,4,IF(P28&gt;=50,5,""))))))</f>
        <v>2</v>
      </c>
      <c r="R28" s="208" t="n">
        <f aca="false">IF(ISERROR(Q28*I28),0,Q28*I28)</f>
        <v>22</v>
      </c>
      <c r="S28" s="208" t="n">
        <f aca="false">IF(ISERROR(Q28*I28*J28),0,Q28*I28*J28)</f>
        <v>22</v>
      </c>
      <c r="T28" s="223" t="n">
        <f aca="false">IF(ISERROR(Q28*J28),0,Q28*J28)</f>
        <v>2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OSC.SPX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57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79</v>
      </c>
      <c r="B29" s="215" t="n">
        <v>0.01</v>
      </c>
      <c r="C29" s="216" t="n">
        <v>1</v>
      </c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Stigeoclonium sp.</v>
      </c>
      <c r="E29" s="217" t="e">
        <f aca="false">IF(D29="",0,VLOOKUP(D29,D$22:D28,1,0))</f>
        <v>#N/A</v>
      </c>
      <c r="F29" s="218" t="n">
        <f aca="false">($B29*$B$7+$C29*$C$7)/100</f>
        <v>0.9505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ALG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2</v>
      </c>
      <c r="I29" s="220" t="n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>13</v>
      </c>
      <c r="J29" s="203" t="n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>2</v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Stigeoclonium sp.</v>
      </c>
      <c r="L29" s="222"/>
      <c r="M29" s="222"/>
      <c r="N29" s="222"/>
      <c r="O29" s="206"/>
      <c r="P29" s="207" t="n">
        <f aca="false">IF(ISTEXT(H29),"",(B29*$B$7/100)+(C29*$C$7/100))</f>
        <v>0.9505</v>
      </c>
      <c r="Q29" s="208" t="n">
        <f aca="false">IF(OR(ISTEXT(H29),P29=0),"",IF(P29&lt;0.1,1,IF(P29&lt;1,2,IF(P29&lt;10,3,IF(P29&lt;50,4,IF(P29&gt;=50,5,""))))))</f>
        <v>2</v>
      </c>
      <c r="R29" s="208" t="n">
        <f aca="false">IF(ISERROR(Q29*I29),0,Q29*I29)</f>
        <v>26</v>
      </c>
      <c r="S29" s="208" t="n">
        <f aca="false">IF(ISERROR(Q29*I29*J29),0,Q29*I29*J29)</f>
        <v>52</v>
      </c>
      <c r="T29" s="223" t="n">
        <f aca="false">IF(ISERROR(Q29*J29),0,Q29*J29)</f>
        <v>4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STI.SPX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72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15</v>
      </c>
      <c r="B30" s="215" t="n">
        <v>12.5</v>
      </c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Cinclidotus aquaticus</v>
      </c>
      <c r="E30" s="217" t="e">
        <f aca="false">IF(D30="",0,VLOOKUP(D30,D$22:D29,1,0))</f>
        <v>#N/A</v>
      </c>
      <c r="F30" s="218" t="n">
        <f aca="false">($B30*$B$7+$C30*$C$7)/100</f>
        <v>0.625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BRm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5</v>
      </c>
      <c r="I30" s="220" t="n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>15</v>
      </c>
      <c r="J30" s="203" t="n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>2</v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Cinclidotus aquaticus</v>
      </c>
      <c r="L30" s="222"/>
      <c r="M30" s="222"/>
      <c r="N30" s="222"/>
      <c r="O30" s="206"/>
      <c r="P30" s="207" t="n">
        <f aca="false">IF(ISTEXT(H30),"",(B30*$B$7/100)+(C30*$C$7/100))</f>
        <v>0.625</v>
      </c>
      <c r="Q30" s="208" t="n">
        <f aca="false">IF(OR(ISTEXT(H30),P30=0),"",IF(P30&lt;0.1,1,IF(P30&lt;1,2,IF(P30&lt;10,3,IF(P30&lt;50,4,IF(P30&gt;=50,5,""))))))</f>
        <v>2</v>
      </c>
      <c r="R30" s="208" t="n">
        <f aca="false">IF(ISERROR(Q30*I30),0,Q30*I30)</f>
        <v>30</v>
      </c>
      <c r="S30" s="208" t="n">
        <f aca="false">IF(ISERROR(Q30*I30*J30),0,Q30*I30*J30)</f>
        <v>60</v>
      </c>
      <c r="T30" s="223" t="n">
        <f aca="false">IF(ISERROR(Q30*J30),0,Q30*J30)</f>
        <v>4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CIN.AQU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171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80</v>
      </c>
      <c r="B31" s="215" t="n">
        <v>12.5</v>
      </c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>Cinclidotus fontinaloides</v>
      </c>
      <c r="E31" s="217" t="e">
        <f aca="false">IF(D31="",0,VLOOKUP(D31,D$21:D30,1,0))</f>
        <v>#N/A</v>
      </c>
      <c r="F31" s="218" t="n">
        <f aca="false">($B31*$B$7+$C31*$C$7)/100</f>
        <v>0.625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BRm</v>
      </c>
      <c r="H31" s="201" t="n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5</v>
      </c>
      <c r="I31" s="220" t="n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>12</v>
      </c>
      <c r="J31" s="203" t="n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>2</v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Cinclidotus fontinaloides</v>
      </c>
      <c r="L31" s="222"/>
      <c r="M31" s="222"/>
      <c r="N31" s="222"/>
      <c r="O31" s="206"/>
      <c r="P31" s="207" t="n">
        <f aca="false">IF(ISTEXT(H31),"",(B31*$B$7/100)+(C31*$C$7/100))</f>
        <v>0.625</v>
      </c>
      <c r="Q31" s="208" t="n">
        <f aca="false">IF(OR(ISTEXT(H31),P31=0),"",IF(P31&lt;0.1,1,IF(P31&lt;1,2,IF(P31&lt;10,3,IF(P31&lt;50,4,IF(P31&gt;=50,5,""))))))</f>
        <v>2</v>
      </c>
      <c r="R31" s="208" t="n">
        <f aca="false">IF(ISERROR(Q31*I31),0,Q31*I31)</f>
        <v>24</v>
      </c>
      <c r="S31" s="208" t="n">
        <f aca="false">IF(ISERROR(Q31*I31*J31),0,Q31*I31*J31)</f>
        <v>48</v>
      </c>
      <c r="T31" s="223" t="n">
        <f aca="false">IF(ISERROR(Q31*J31),0,Q31*J31)</f>
        <v>4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>CIN.FON</v>
      </c>
      <c r="Y31" s="9" t="n">
        <f aca="false">IF(ISERROR(MATCH(A31,'[1]liste reference'!$A$7:$A$906,0)),IF(ISERROR(MATCH(A31,'[1]liste reference'!$B$7:$B$906,0)),"",(MATCH(A31,'[1]liste reference'!$B$7:$B$906,0))),(MATCH(A31,'[1]liste reference'!$A$7:$A$906,0)))</f>
        <v>173</v>
      </c>
      <c r="Z31" s="212"/>
      <c r="AA31" s="213"/>
      <c r="BB31" s="9" t="n">
        <f aca="false">IF(A31="","",1)</f>
        <v>1</v>
      </c>
    </row>
    <row r="32" customFormat="false" ht="12.75" hidden="false" customHeight="false" outlineLevel="0" collapsed="false">
      <c r="A32" s="214" t="s">
        <v>81</v>
      </c>
      <c r="B32" s="215"/>
      <c r="C32" s="216" t="n">
        <v>0.01</v>
      </c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>Myriophyllum spicatum</v>
      </c>
      <c r="E32" s="217" t="e">
        <f aca="false">IF(D32="",0,VLOOKUP(D32,D$22:D31,1,0))</f>
        <v>#N/A</v>
      </c>
      <c r="F32" s="218" t="n">
        <f aca="false">($B32*$B$7+$C32*$C$7)/100</f>
        <v>0.0095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>PHy</v>
      </c>
      <c r="H32" s="201" t="n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7</v>
      </c>
      <c r="I32" s="220" t="n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>8</v>
      </c>
      <c r="J32" s="203" t="n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>2</v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>Myriophyllum spicatum</v>
      </c>
      <c r="L32" s="222"/>
      <c r="M32" s="222"/>
      <c r="N32" s="222"/>
      <c r="O32" s="206"/>
      <c r="P32" s="207" t="n">
        <f aca="false">IF(ISTEXT(H32),"",(B32*$B$7/100)+(C32*$C$7/100))</f>
        <v>0.0095</v>
      </c>
      <c r="Q32" s="208" t="n">
        <f aca="false">IF(OR(ISTEXT(H32),P32=0),"",IF(P32&lt;0.1,1,IF(P32&lt;1,2,IF(P32&lt;10,3,IF(P32&lt;50,4,IF(P32&gt;=50,5,""))))))</f>
        <v>1</v>
      </c>
      <c r="R32" s="208" t="n">
        <f aca="false">IF(ISERROR(Q32*I32),0,Q32*I32)</f>
        <v>8</v>
      </c>
      <c r="S32" s="208" t="n">
        <f aca="false">IF(ISERROR(Q32*I32*J32),0,Q32*I32*J32)</f>
        <v>16</v>
      </c>
      <c r="T32" s="223" t="n">
        <f aca="false">IF(ISERROR(Q32*J32),0,Q32*J32)</f>
        <v>2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>MYR.SPI</v>
      </c>
      <c r="Y32" s="9" t="n">
        <f aca="false">IF(ISERROR(MATCH(A32,'[1]liste reference'!$A$7:$A$906,0)),IF(ISERROR(MATCH(A32,'[1]liste reference'!$B$7:$B$906,0)),"",(MATCH(A32,'[1]liste reference'!$B$7:$B$906,0))),(MATCH(A32,'[1]liste reference'!$A$7:$A$906,0)))</f>
        <v>377</v>
      </c>
      <c r="Z32" s="212"/>
      <c r="AA32" s="213"/>
      <c r="BB32" s="9" t="n">
        <f aca="false">IF(A32="","",1)</f>
        <v>1</v>
      </c>
    </row>
    <row r="33" customFormat="false" ht="12.75" hidden="false" customHeight="false" outlineLevel="0" collapsed="false">
      <c r="A33" s="214" t="s">
        <v>82</v>
      </c>
      <c r="B33" s="215"/>
      <c r="C33" s="216" t="n">
        <v>0.01</v>
      </c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>Paspalum paspaloides        </v>
      </c>
      <c r="E33" s="217" t="e">
        <f aca="false">IF(D33="",0,VLOOKUP(D33,D$22:D32,1,0))</f>
        <v>#N/A</v>
      </c>
      <c r="F33" s="218" t="n">
        <f aca="false">($B33*$B$7+$C33*$C$7)/100</f>
        <v>0.0095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>PHg</v>
      </c>
      <c r="H33" s="201" t="n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9</v>
      </c>
      <c r="I33" s="220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3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>Paspalum paspaloides        </v>
      </c>
      <c r="L33" s="225"/>
      <c r="M33" s="225"/>
      <c r="N33" s="225"/>
      <c r="O33" s="226"/>
      <c r="P33" s="207" t="n">
        <f aca="false">IF(ISTEXT(H33),"",(B33*$B$7/100)+(C33*$C$7/100))</f>
        <v>0.0095</v>
      </c>
      <c r="Q33" s="208" t="n">
        <f aca="false">IF(OR(ISTEXT(H33),P33=0),"",IF(P33&lt;0.1,1,IF(P33&lt;1,2,IF(P33&lt;10,3,IF(P33&lt;50,4,IF(P33&gt;=50,5,""))))))</f>
        <v>1</v>
      </c>
      <c r="R33" s="208" t="n">
        <f aca="false">IF(ISERROR(Q33*I33),0,Q33*I33)</f>
        <v>0</v>
      </c>
      <c r="S33" s="208" t="n">
        <f aca="false">IF(ISERROR(Q33*I33*J33),0,Q33*I33*J33)</f>
        <v>0</v>
      </c>
      <c r="T33" s="223" t="n">
        <f aca="false">IF(ISERROR(Q33*J33),0,Q33*J33)</f>
        <v>0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>PAS.PAS</v>
      </c>
      <c r="Y33" s="9" t="n">
        <f aca="false">IF(ISERROR(MATCH(A33,'[1]liste reference'!$A$7:$A$906,0)),IF(ISERROR(MATCH(A33,'[1]liste reference'!$B$7:$B$906,0)),"",(MATCH(A33,'[1]liste reference'!$B$7:$B$906,0))),(MATCH(A33,'[1]liste reference'!$A$7:$A$906,0)))</f>
        <v>792</v>
      </c>
      <c r="Z33" s="212"/>
      <c r="AA33" s="213"/>
      <c r="BB33" s="9" t="n">
        <f aca="false">IF(A33="","",1)</f>
        <v>1</v>
      </c>
    </row>
    <row r="34" customFormat="false" ht="12.75" hidden="false" customHeight="false" outlineLevel="0" collapsed="false">
      <c r="A34" s="214" t="s">
        <v>83</v>
      </c>
      <c r="B34" s="215"/>
      <c r="C34" s="216" t="n">
        <v>0.01</v>
      </c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>Typha sp.</v>
      </c>
      <c r="E34" s="217" t="e">
        <f aca="false">IF(D34="",0,VLOOKUP(D34,D$22:D33,1,0))</f>
        <v>#N/A</v>
      </c>
      <c r="F34" s="227" t="n">
        <f aca="false">($B34*$B$7+$C34*$C$7)/100</f>
        <v>0.0095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>PHe</v>
      </c>
      <c r="H34" s="201" t="n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8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>Typha sp.</v>
      </c>
      <c r="L34" s="225"/>
      <c r="M34" s="225"/>
      <c r="N34" s="225"/>
      <c r="O34" s="226"/>
      <c r="P34" s="207" t="n">
        <f aca="false">IF(ISTEXT(H34),"",(B34*$B$7/100)+(C34*$C$7/100))</f>
        <v>0.0095</v>
      </c>
      <c r="Q34" s="208" t="n">
        <f aca="false">IF(OR(ISTEXT(H34),P34=0),"",IF(P34&lt;0.1,1,IF(P34&lt;1,2,IF(P34&lt;10,3,IF(P34&lt;50,4,IF(P34&gt;=50,5,""))))))</f>
        <v>1</v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>TYP.SPX</v>
      </c>
      <c r="Y34" s="9" t="n">
        <f aca="false">IF(ISERROR(MATCH(A34,'[1]liste reference'!$A$7:$A$906,0)),IF(ISERROR(MATCH(A34,'[1]liste reference'!$B$7:$B$906,0)),"",(MATCH(A34,'[1]liste reference'!$B$7:$B$906,0))),(MATCH(A34,'[1]liste reference'!$A$7:$A$906,0)))</f>
        <v>688</v>
      </c>
      <c r="Z34" s="212"/>
      <c r="AA34" s="213"/>
      <c r="BB34" s="9" t="n">
        <f aca="false">IF(A34="","",1)</f>
        <v>1</v>
      </c>
    </row>
    <row r="35" customFormat="false" ht="12.75" hidden="false" customHeight="false" outlineLevel="0" collapsed="false">
      <c r="A35" s="214" t="s">
        <v>84</v>
      </c>
      <c r="B35" s="215"/>
      <c r="C35" s="216" t="n">
        <v>0.01</v>
      </c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>Juncus articulatus</v>
      </c>
      <c r="E35" s="217" t="e">
        <f aca="false">IF(D35="",0,VLOOKUP(D35,D$22:D34,1,0))</f>
        <v>#N/A</v>
      </c>
      <c r="F35" s="227" t="n">
        <f aca="false">($B35*$B$7+$C35*$C$7)/100</f>
        <v>0.0095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>PHg</v>
      </c>
      <c r="H35" s="201" t="n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9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>Juncus articulatus</v>
      </c>
      <c r="L35" s="222"/>
      <c r="M35" s="222"/>
      <c r="N35" s="222"/>
      <c r="O35" s="206"/>
      <c r="P35" s="207" t="n">
        <f aca="false">IF(ISTEXT(H35),"",(B35*$B$7/100)+(C35*$C$7/100))</f>
        <v>0.0095</v>
      </c>
      <c r="Q35" s="208" t="n">
        <f aca="false">IF(OR(ISTEXT(H35),P35=0),"",IF(P35&lt;0.1,1,IF(P35&lt;1,2,IF(P35&lt;10,3,IF(P35&lt;50,4,IF(P35&gt;=50,5,""))))))</f>
        <v>1</v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>JUN.ART</v>
      </c>
      <c r="Y35" s="9" t="n">
        <f aca="false">IF(ISERROR(MATCH(A35,'[1]liste reference'!$A$7:$A$906,0)),IF(ISERROR(MATCH(A35,'[1]liste reference'!$B$7:$B$906,0)),"",(MATCH(A35,'[1]liste reference'!$B$7:$B$906,0))),(MATCH(A35,'[1]liste reference'!$A$7:$A$906,0)))</f>
        <v>775</v>
      </c>
      <c r="Z35" s="212"/>
      <c r="AA35" s="213"/>
      <c r="BB35" s="9" t="n">
        <f aca="false">IF(A35="","",1)</f>
        <v>1</v>
      </c>
    </row>
    <row r="36" customFormat="false" ht="12.75" hidden="false" customHeight="false" outlineLevel="0" collapsed="false">
      <c r="A36" s="214" t="s">
        <v>85</v>
      </c>
      <c r="B36" s="215"/>
      <c r="C36" s="216" t="n">
        <v>0.01</v>
      </c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>Ludwigia peploides </v>
      </c>
      <c r="E36" s="217" t="e">
        <f aca="false">IF(D36="",0,VLOOKUP(D36,D$22:D35,1,0))</f>
        <v>#N/A</v>
      </c>
      <c r="F36" s="227" t="n">
        <f aca="false">($B36*$B$7+$C36*$C$7)/100</f>
        <v>0.0095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>PHe</v>
      </c>
      <c r="H36" s="201" t="n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8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>Ludwigia peploides </v>
      </c>
      <c r="L36" s="222"/>
      <c r="M36" s="222"/>
      <c r="N36" s="222"/>
      <c r="O36" s="206"/>
      <c r="P36" s="207" t="n">
        <f aca="false">IF(ISTEXT(H36),"",(B36*$B$7/100)+(C36*$C$7/100))</f>
        <v>0.0095</v>
      </c>
      <c r="Q36" s="208" t="n">
        <f aca="false">IF(OR(ISTEXT(H36),P36=0),"",IF(P36&lt;0.1,1,IF(P36&lt;1,2,IF(P36&lt;10,3,IF(P36&lt;50,4,IF(P36&gt;=50,5,""))))))</f>
        <v>1</v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>LUD.PEP</v>
      </c>
      <c r="Y36" s="9" t="n">
        <f aca="false">IF(ISERROR(MATCH(A36,'[1]liste reference'!$A$7:$A$906,0)),IF(ISERROR(MATCH(A36,'[1]liste reference'!$B$7:$B$906,0)),"",(MATCH(A36,'[1]liste reference'!$B$7:$B$906,0))),(MATCH(A36,'[1]liste reference'!$A$7:$A$906,0)))</f>
        <v>600</v>
      </c>
      <c r="Z36" s="212"/>
      <c r="AA36" s="213"/>
      <c r="BB36" s="9" t="n">
        <f aca="false">IF(A36="","",1)</f>
        <v>1</v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86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Siagne</v>
      </c>
      <c r="B84" s="247" t="str">
        <f aca="false">C3</f>
        <v>Mandelieu Lanapoule</v>
      </c>
      <c r="C84" s="248" t="n">
        <f aca="false">A4</f>
        <v>40022</v>
      </c>
      <c r="D84" s="249" t="n">
        <f aca="false">IF(ISERROR(SUM($S$23:$S$82)/SUM($T$23:$T$82)),"",SUM($S$23:$S$82)/SUM($T$23:$T$82))</f>
        <v>9.31428571428572</v>
      </c>
      <c r="E84" s="250" t="n">
        <f aca="false">N13</f>
        <v>14</v>
      </c>
      <c r="F84" s="247" t="n">
        <f aca="false">N14</f>
        <v>10</v>
      </c>
      <c r="G84" s="247" t="n">
        <f aca="false">N15</f>
        <v>3</v>
      </c>
      <c r="H84" s="247" t="n">
        <f aca="false">N16</f>
        <v>7</v>
      </c>
      <c r="I84" s="247" t="n">
        <f aca="false">N17</f>
        <v>0</v>
      </c>
      <c r="J84" s="251" t="n">
        <f aca="false">N8</f>
        <v>9.6</v>
      </c>
      <c r="K84" s="249" t="n">
        <f aca="false">N9</f>
        <v>3.74759181934805</v>
      </c>
      <c r="L84" s="250" t="n">
        <f aca="false">N10</f>
        <v>3</v>
      </c>
      <c r="M84" s="250" t="n">
        <f aca="false">N11</f>
        <v>15</v>
      </c>
      <c r="N84" s="249" t="n">
        <f aca="false">O8</f>
        <v>1.7</v>
      </c>
      <c r="O84" s="249" t="n">
        <f aca="false">O9</f>
        <v>0.483045891539648</v>
      </c>
      <c r="P84" s="250" t="n">
        <f aca="false">O10</f>
        <v>1</v>
      </c>
      <c r="Q84" s="250" t="n">
        <f aca="false">O11</f>
        <v>2</v>
      </c>
      <c r="R84" s="252" t="n">
        <f aca="false">F21</f>
        <v>25.25</v>
      </c>
      <c r="S84" s="250" t="n">
        <f aca="false">K11</f>
        <v>0</v>
      </c>
      <c r="T84" s="250" t="n">
        <f aca="false">K12</f>
        <v>7</v>
      </c>
      <c r="U84" s="250" t="n">
        <f aca="false">K13</f>
        <v>2</v>
      </c>
      <c r="V84" s="253" t="n">
        <f aca="false">K14</f>
        <v>0</v>
      </c>
      <c r="W84" s="254" t="n">
        <f aca="false">K15</f>
        <v>5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87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88</v>
      </c>
      <c r="Q87" s="9"/>
      <c r="R87" s="209" t="n">
        <f aca="false">VLOOKUP(MAX($R$23:$R$82),($R$23:$T$82),1,0)</f>
        <v>30</v>
      </c>
      <c r="S87" s="9"/>
      <c r="T87" s="9"/>
      <c r="U87" s="9"/>
    </row>
    <row r="88" customFormat="false" ht="12.75" hidden="true" customHeight="false" outlineLevel="0" collapsed="false">
      <c r="P88" s="9" t="s">
        <v>89</v>
      </c>
      <c r="Q88" s="9"/>
      <c r="R88" s="209" t="n">
        <f aca="false">VLOOKUP((R87),($R$23:$T$82),2,0)</f>
        <v>60</v>
      </c>
      <c r="S88" s="9"/>
      <c r="T88" s="9"/>
      <c r="U88" s="9"/>
    </row>
    <row r="89" customFormat="false" ht="12.75" hidden="true" customHeight="false" outlineLevel="0" collapsed="false">
      <c r="P89" s="9" t="s">
        <v>90</v>
      </c>
      <c r="Q89" s="9"/>
      <c r="R89" s="209" t="n">
        <f aca="false">VLOOKUP((R87),($R$23:$T$82),3,0)</f>
        <v>4</v>
      </c>
      <c r="S89" s="9"/>
    </row>
    <row r="90" customFormat="false" ht="12.75" hidden="true" customHeight="false" outlineLevel="0" collapsed="false">
      <c r="P90" s="9" t="s">
        <v>91</v>
      </c>
      <c r="Q90" s="9"/>
      <c r="R90" s="257" t="n">
        <f aca="false">IF(ISERROR(SUM($S$23:$S$82)/SUM($T$23:$T$82)),"",(SUM($S$23:$S$82)-R88)/(SUM($T$23:$T$82)-R89))</f>
        <v>8.58064516129032</v>
      </c>
      <c r="S90" s="9"/>
    </row>
    <row r="91" customFormat="false" ht="12.75" hidden="true" customHeight="false" outlineLevel="0" collapsed="false">
      <c r="P91" s="208" t="s">
        <v>92</v>
      </c>
      <c r="Q91" s="208"/>
      <c r="R91" s="208" t="str">
        <f aca="false">INDEX('[1]liste reference'!$A$7:$A$906,$S$91)</f>
        <v>CIN.AQU</v>
      </c>
      <c r="S91" s="9" t="n">
        <f aca="false">IF(ISERROR(MATCH($R$93,'[1]liste reference'!$A$7:$A$906,0)),MATCH($R$93,'[1]liste reference'!$B$7:$B$906,0),(MATCH($R$93,'[1]liste reference'!$A$7:$A$906,0)))</f>
        <v>171</v>
      </c>
      <c r="T91" s="245"/>
    </row>
    <row r="92" customFormat="false" ht="12.75" hidden="true" customHeight="false" outlineLevel="0" collapsed="false">
      <c r="P92" s="9" t="s">
        <v>93</v>
      </c>
      <c r="Q92" s="9"/>
      <c r="R92" s="9" t="n">
        <f aca="false">MATCH(R87,$R$23:$R$82,0)</f>
        <v>8</v>
      </c>
      <c r="S92" s="9"/>
    </row>
    <row r="93" customFormat="false" ht="12.75" hidden="true" customHeight="false" outlineLevel="0" collapsed="false">
      <c r="P93" s="208" t="s">
        <v>94</v>
      </c>
      <c r="Q93" s="9"/>
      <c r="R93" s="208" t="str">
        <f aca="false">INDEX($A$23:$A$82,$R$92)</f>
        <v>CIN.AQU</v>
      </c>
      <c r="S93" s="9"/>
    </row>
    <row r="94" customFormat="false" ht="12.75" hidden="false" customHeight="false" outlineLevel="0" collapsed="false">
      <c r="R94" s="245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2013-10-22T12:25:01Z</dcterms:created>
  <dc:creator>elise.carnet</dc:creator>
  <dc:description/>
  <dc:language>fr-FR</dc:language>
  <cp:lastModifiedBy>elise.carnet</cp:lastModifiedBy>
  <dcterms:modified xsi:type="dcterms:W3CDTF">2013-10-22T12:25:17Z</dcterms:modified>
  <cp:revision>0</cp:revision>
  <dc:subject/>
  <dc:title/>
</cp:coreProperties>
</file>