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ENTREVAUX" sheetId="1" state="visible" r:id="rId3"/>
  </sheets>
  <externalReferences>
    <externalReference r:id="rId4"/>
  </externalReferences>
  <definedNames>
    <definedName function="false" hidden="false" localSheetId="0" name="_xlnm.Print_Area" vbProcedure="false">ENTREVAUX!$A$1:$O$30</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ENTREVAUX!$A$23:$J$84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<sst xmlns="http://schemas.openxmlformats.org/spreadsheetml/2006/main" count="92" uniqueCount="87">
  <si>
    <t xml:space="preserve">Relevés floristiques aquatiques - IBMR</t>
  </si>
  <si>
    <t xml:space="preserve">GIS Macrophytes - juillet 2006</t>
  </si>
  <si>
    <t xml:space="preserve">CARICAIE</t>
  </si>
  <si>
    <t xml:space="preserve">conforme AFNOR T90-395 oct. 2003</t>
  </si>
  <si>
    <t xml:space="preserve">VAR</t>
  </si>
  <si>
    <t xml:space="preserve">ENTREVAUX</t>
  </si>
  <si>
    <t xml:space="preserve">06210450</t>
  </si>
  <si>
    <t xml:space="preserve">Résultats</t>
  </si>
  <si>
    <t xml:space="preserve">Robustesse:</t>
  </si>
  <si>
    <t xml:space="preserve">F. courant</t>
  </si>
  <si>
    <t xml:space="preserve">F. lent</t>
  </si>
  <si>
    <t xml:space="preserve">station</t>
  </si>
  <si>
    <t xml:space="preserve">IBMR:</t>
  </si>
  <si>
    <t xml:space="preserve">HYG.LUR</t>
  </si>
  <si>
    <t xml:space="preserve">Type de faciès</t>
  </si>
  <si>
    <t xml:space="preserve">rapide</t>
  </si>
  <si>
    <t xml:space="preserve">niv. trophique:</t>
  </si>
  <si>
    <t xml:space="preserve">moyen</t>
  </si>
  <si>
    <t xml:space="preserve">(fort)</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</si>
  <si>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</si>
  <si>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</si>
  <si>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</si>
  <si>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</si>
  <si>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</si>
  <si>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</si>
  <si>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</si>
  <si>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</si>
  <si>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</si>
  <si>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</si>
  <si>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</si>
  <si>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</si>
  <si>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</si>
  <si>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</si>
  <si>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</si>
  <si>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</si>
  <si>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</si>
  <si>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</si>
  <si>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</si>
  <si>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</si>
  <si>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</si>
  <si>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</si>
  <si>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</si>
  <si>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</si>
  <si>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</si>
  <si>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</si>
  <si>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</si>
  <si>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</si>
  <si>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</si>
  <si>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</si>
  <si>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</si>
  <si>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</si>
  <si>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</si>
  <si>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</si>
  <si>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</si>
  <si>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</si>
  <si>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</si>
  <si>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</si>
  <si>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</si>
  <si>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</si>
  <si>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</si>
  <si>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</si>
  <si>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</si>
  <si>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</si>
  <si>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</si>
  <si>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</si>
  <si>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</si>
  <si>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</si>
  <si>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</si>
  <si>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</si>
  <si>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</si>
  <si>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</si>
  <si>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</si>
  <si>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LYN.SPX</t>
  </si>
  <si>
    <t xml:space="preserve">OSC.SPX</t>
  </si>
  <si>
    <t xml:space="preserve">RHI.SPX</t>
  </si>
  <si>
    <t xml:space="preserve">SPI.SPX</t>
  </si>
  <si>
    <t xml:space="preserve">ULO.SPX</t>
  </si>
  <si>
    <t xml:space="preserve">CIN.FON</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</si>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</sst>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9">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4" borderId="15" xfId="0" applyFont="true" applyBorder="true" applyAlignment="true" applyProtection="true">
      <alignment horizontal="left" vertical="top" textRotation="0" wrapText="false" indent="0" shrinkToFit="false"/>
      <protection locked="true" hidden="true"/>
    </xf>
    <xf numFmtId="167" fontId="13" fillId="4"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4" borderId="31" xfId="0" applyFont="true" applyBorder="true" applyAlignment="true" applyProtection="true">
      <alignment horizontal="center" vertical="top" textRotation="0" wrapText="false" indent="0" shrinkToFit="false"/>
      <protection locked="true" hidden="true"/>
    </xf>
    <xf numFmtId="164" fontId="17"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4"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false" applyProtection="true">
      <alignment horizontal="general" vertical="bottom" textRotation="0" wrapText="false" indent="0" shrinkToFit="false"/>
      <protection locked="true" hidden="true"/>
    </xf>
    <xf numFmtId="170" fontId="25"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6" fillId="0" borderId="0" xfId="0" applyFont="true" applyBorder="false" applyAlignment="false" applyProtection="true">
      <alignment horizontal="general" vertical="bottom" textRotation="0" wrapText="false" indent="0" shrinkToFit="false"/>
      <protection locked="true" hidden="true"/>
    </xf>
    <xf numFmtId="168" fontId="26" fillId="6" borderId="1" xfId="0" applyFont="true" applyBorder="true" applyAlignment="fals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false" applyProtection="true">
      <alignment horizontal="general" vertical="bottom" textRotation="0" wrapText="false" indent="0" shrinkToFit="false"/>
      <protection locked="true" hidden="true"/>
    </xf>
    <xf numFmtId="164" fontId="29"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0"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8"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8"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8" fillId="6" borderId="72" xfId="0" applyFont="true" applyBorder="true" applyAlignment="true" applyProtection="fals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ST LAURENT"/><sheetName val="GILETTE"/><sheetName val="UTELLE"/><sheetName val="COARAZE"/><sheetName val="MALAUSSENE"/><sheetName val="ST BENOIT"/><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 sheetId="21"></sheetData><sheetData sheetId="22"></sheetData><sheetData sheetId="23"></sheetData><sheetData sheetId="24"></sheetData><sheetData sheetId="25"></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40386</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11.6666666666667</v>
      </c>
      <c r="M5" s="52"/>
      <c r="N5" s="53" t="s">
        <v>13</v>
      </c>
      <c r="O5" s="54" t="n">
        <v>9.22222222222222</v>
      </c>
      <c r="P5" s="9"/>
      <c r="Q5" s="9"/>
      <c r="R5" s="9"/>
      <c r="S5" s="9"/>
      <c r="T5" s="9"/>
      <c r="U5" s="9"/>
      <c r="V5" s="21"/>
      <c r="W5" s="41"/>
    </row>
    <row r="6" customFormat="false" ht="13.5" hidden="false" customHeight="false" outlineLevel="0" collapsed="false">
      <c r="A6" s="55" t="s">
        <v>14</v>
      </c>
      <c r="B6" s="56" t="s">
        <v>15</v>
      </c>
      <c r="C6" s="57"/>
      <c r="D6" s="45"/>
      <c r="E6" s="45"/>
      <c r="F6" s="46"/>
      <c r="G6" s="47"/>
      <c r="H6" s="45"/>
      <c r="I6" s="58" t="s">
        <v>16</v>
      </c>
      <c r="J6" s="59"/>
      <c r="K6" s="60"/>
      <c r="L6" s="61" t="s">
        <v>17</v>
      </c>
      <c r="M6" s="62"/>
      <c r="N6" s="63" t="s">
        <v>18</v>
      </c>
      <c r="O6" s="63"/>
      <c r="P6" s="9"/>
      <c r="Q6" s="9"/>
      <c r="R6" s="9"/>
      <c r="S6" s="9"/>
      <c r="T6" s="9"/>
      <c r="U6" s="9"/>
      <c r="V6" s="21"/>
      <c r="W6" s="22"/>
    </row>
    <row r="7" customFormat="false" ht="12.75" hidden="false" customHeight="false" outlineLevel="0" collapsed="false">
      <c r="A7" s="64" t="s">
        <v>19</v>
      </c>
      <c r="B7" s="65" t="n">
        <v>100</v>
      </c>
      <c r="C7" s="66"/>
      <c r="D7" s="67"/>
      <c r="E7" s="67"/>
      <c r="F7" s="68" t="n">
        <f aca="false">IF((OR((B7+C7=100),(B7+C7=0))),B7+C7,"ATTENTION")</f>
        <v>100</v>
      </c>
      <c r="G7" s="69"/>
      <c r="H7" s="67"/>
      <c r="I7" s="70"/>
      <c r="J7" s="71"/>
      <c r="K7" s="72"/>
      <c r="L7" s="73"/>
      <c r="M7" s="74"/>
      <c r="N7" s="75" t="s">
        <v>20</v>
      </c>
      <c r="O7" s="76" t="s">
        <v>21</v>
      </c>
      <c r="P7" s="9"/>
      <c r="Q7" s="9"/>
      <c r="R7" s="9"/>
      <c r="S7" s="9"/>
      <c r="T7" s="9"/>
      <c r="U7" s="9"/>
      <c r="V7" s="21"/>
      <c r="W7" s="22"/>
    </row>
    <row r="8" customFormat="false" ht="12.75" hidden="false" customHeight="false" outlineLevel="0" collapsed="false">
      <c r="A8" s="77" t="s">
        <v>22</v>
      </c>
      <c r="B8" s="77"/>
      <c r="C8" s="77"/>
      <c r="D8" s="67"/>
      <c r="E8" s="67"/>
      <c r="F8" s="78" t="s">
        <v>23</v>
      </c>
      <c r="G8" s="79"/>
      <c r="H8" s="80"/>
      <c r="I8" s="70"/>
      <c r="J8" s="71"/>
      <c r="K8" s="72"/>
      <c r="L8" s="73"/>
      <c r="M8" s="81" t="s">
        <v>24</v>
      </c>
      <c r="N8" s="82" t="n">
        <f aca="false">AVERAGE(I23:I82)</f>
        <v>10.25</v>
      </c>
      <c r="O8" s="83" t="n">
        <f aca="false">AVERAGE(J23:J82)</f>
        <v>1.625</v>
      </c>
      <c r="P8" s="9"/>
      <c r="Q8" s="9"/>
      <c r="R8" s="9"/>
      <c r="S8" s="9"/>
      <c r="T8" s="9"/>
      <c r="U8" s="9"/>
      <c r="V8" s="21"/>
      <c r="W8" s="22"/>
    </row>
    <row r="9" customFormat="false" ht="13.5" hidden="false" customHeight="false" outlineLevel="0" collapsed="false">
      <c r="A9" s="84" t="s">
        <v>25</v>
      </c>
      <c r="B9" s="85" t="n">
        <v>5.9</v>
      </c>
      <c r="C9" s="86"/>
      <c r="D9" s="87"/>
      <c r="E9" s="87"/>
      <c r="F9" s="88" t="n">
        <f aca="false">($B9*$B$7+$C9*$C$7)/100</f>
        <v>5.9</v>
      </c>
      <c r="G9" s="89"/>
      <c r="H9" s="90"/>
      <c r="I9" s="91"/>
      <c r="J9" s="92"/>
      <c r="K9" s="72"/>
      <c r="L9" s="93"/>
      <c r="M9" s="81" t="s">
        <v>26</v>
      </c>
      <c r="N9" s="82" t="n">
        <f aca="false">STDEV(I23:I82)</f>
        <v>4.43202630213959</v>
      </c>
      <c r="O9" s="83" t="n">
        <f aca="false">STDEV(J23:J82)</f>
        <v>0.744023809142845</v>
      </c>
      <c r="P9" s="9"/>
      <c r="Q9" s="9"/>
      <c r="R9" s="9"/>
      <c r="S9" s="9"/>
      <c r="T9" s="9"/>
      <c r="U9" s="9"/>
      <c r="V9" s="94"/>
      <c r="W9" s="95"/>
    </row>
    <row r="10" customFormat="false" ht="13.5" hidden="false" customHeight="false" outlineLevel="0" collapsed="false">
      <c r="A10" s="96" t="s">
        <v>27</v>
      </c>
      <c r="B10" s="97" t="n">
        <v>0</v>
      </c>
      <c r="C10" s="98"/>
      <c r="D10" s="99"/>
      <c r="E10" s="99"/>
      <c r="F10" s="88" t="n">
        <f aca="false">($B10*$B$7+$C10*$C$7)/100</f>
        <v>0</v>
      </c>
      <c r="G10" s="89"/>
      <c r="H10" s="100"/>
      <c r="I10" s="101"/>
      <c r="J10" s="102" t="s">
        <v>28</v>
      </c>
      <c r="K10" s="102"/>
      <c r="L10" s="103"/>
      <c r="M10" s="104" t="s">
        <v>29</v>
      </c>
      <c r="N10" s="105" t="n">
        <f aca="false">MIN(I23:I82)</f>
        <v>4</v>
      </c>
      <c r="O10" s="106" t="n">
        <f aca="false">MIN(J23:J82)</f>
        <v>1</v>
      </c>
      <c r="P10" s="9"/>
      <c r="Q10" s="9"/>
      <c r="R10" s="9"/>
      <c r="S10" s="9"/>
      <c r="T10" s="9"/>
      <c r="U10" s="9"/>
    </row>
    <row r="11" customFormat="false" ht="12.75" hidden="false" customHeight="false" outlineLevel="0" collapsed="false">
      <c r="A11" s="107" t="s">
        <v>30</v>
      </c>
      <c r="B11" s="108" t="n">
        <v>0</v>
      </c>
      <c r="C11" s="109"/>
      <c r="D11" s="110"/>
      <c r="E11" s="110"/>
      <c r="F11" s="111" t="n">
        <f aca="false">($B11*$B$7+$C11*$C$7)/100</f>
        <v>0</v>
      </c>
      <c r="G11" s="112"/>
      <c r="H11" s="67"/>
      <c r="I11" s="113" t="s">
        <v>31</v>
      </c>
      <c r="J11" s="113"/>
      <c r="K11" s="114" t="n">
        <f aca="false">COUNTIF($G$23:$G$82,"=HET")</f>
        <v>0</v>
      </c>
      <c r="L11" s="115"/>
      <c r="M11" s="104" t="s">
        <v>32</v>
      </c>
      <c r="N11" s="105" t="n">
        <f aca="false">MAX(I23:I82)</f>
        <v>19</v>
      </c>
      <c r="O11" s="106" t="n">
        <f aca="false">MAX(J23:J82)</f>
        <v>3</v>
      </c>
      <c r="P11" s="9"/>
      <c r="Q11" s="9"/>
      <c r="R11" s="9"/>
      <c r="S11" s="9"/>
      <c r="T11" s="9"/>
      <c r="U11" s="9"/>
    </row>
    <row r="12" customFormat="false" ht="12.75" hidden="false" customHeight="false" outlineLevel="0" collapsed="false">
      <c r="A12" s="116" t="s">
        <v>33</v>
      </c>
      <c r="B12" s="117" t="n">
        <v>5.5</v>
      </c>
      <c r="C12" s="118"/>
      <c r="D12" s="110"/>
      <c r="E12" s="110"/>
      <c r="F12" s="111" t="n">
        <f aca="false">($B12*$B$7+$C12*$C$7)/100</f>
        <v>5.5</v>
      </c>
      <c r="G12" s="119"/>
      <c r="H12" s="67"/>
      <c r="I12" s="120" t="s">
        <v>34</v>
      </c>
      <c r="J12" s="120"/>
      <c r="K12" s="114" t="n">
        <f aca="false">COUNTIF($G$23:$G$82,"=ALG")</f>
        <v>6</v>
      </c>
      <c r="L12" s="121"/>
      <c r="M12" s="122"/>
      <c r="N12" s="123" t="s">
        <v>28</v>
      </c>
      <c r="O12" s="124"/>
      <c r="P12" s="9"/>
      <c r="Q12" s="9"/>
      <c r="R12" s="9"/>
      <c r="S12" s="9"/>
      <c r="T12" s="9"/>
      <c r="U12" s="9"/>
    </row>
    <row r="13" customFormat="false" ht="12.75" hidden="false" customHeight="false" outlineLevel="0" collapsed="false">
      <c r="A13" s="116" t="s">
        <v>35</v>
      </c>
      <c r="B13" s="117" t="n">
        <v>0.3</v>
      </c>
      <c r="C13" s="118"/>
      <c r="D13" s="110"/>
      <c r="E13" s="110"/>
      <c r="F13" s="111" t="n">
        <f aca="false">($B13*$B$7+$C13*$C$7)/100</f>
        <v>0.3</v>
      </c>
      <c r="G13" s="119"/>
      <c r="H13" s="67"/>
      <c r="I13" s="120" t="s">
        <v>36</v>
      </c>
      <c r="J13" s="120"/>
      <c r="K13" s="114" t="n">
        <f aca="false">COUNTIF($G$23:$G$82,"=BRm")+COUNTIF($G$23:$G$82,"=BRh")</f>
        <v>2</v>
      </c>
      <c r="L13" s="115"/>
      <c r="M13" s="125" t="s">
        <v>37</v>
      </c>
      <c r="N13" s="126" t="n">
        <f aca="false">COUNTIF(F23:F82,"&gt;0")</f>
        <v>8</v>
      </c>
      <c r="O13" s="127"/>
      <c r="P13" s="9"/>
      <c r="Q13" s="9"/>
      <c r="R13" s="9"/>
      <c r="S13" s="9"/>
      <c r="T13" s="9"/>
      <c r="U13" s="9"/>
    </row>
    <row r="14" customFormat="false" ht="12.75" hidden="false" customHeight="false" outlineLevel="0" collapsed="false">
      <c r="A14" s="116" t="s">
        <v>38</v>
      </c>
      <c r="B14" s="117" t="n">
        <v>0</v>
      </c>
      <c r="C14" s="118"/>
      <c r="D14" s="110"/>
      <c r="E14" s="110"/>
      <c r="F14" s="111" t="n">
        <f aca="false">($B14*$B$7+$C14*$C$7)/100</f>
        <v>0</v>
      </c>
      <c r="G14" s="119"/>
      <c r="H14" s="67"/>
      <c r="I14" s="120" t="s">
        <v>39</v>
      </c>
      <c r="J14" s="120"/>
      <c r="K14" s="114" t="n">
        <f aca="false">COUNTIF($G$23:$G$82,"=PTE")</f>
        <v>0</v>
      </c>
      <c r="L14" s="115"/>
      <c r="M14" s="128" t="s">
        <v>40</v>
      </c>
      <c r="N14" s="129" t="n">
        <f aca="false">COUNTIF($I$23:$I$82,"&gt;-1")</f>
        <v>8</v>
      </c>
      <c r="O14" s="130"/>
      <c r="P14" s="9"/>
      <c r="Q14" s="9"/>
      <c r="R14" s="9"/>
      <c r="S14" s="9"/>
      <c r="T14" s="9"/>
      <c r="U14" s="9"/>
    </row>
    <row r="15" customFormat="false" ht="12.75" hidden="false" customHeight="false" outlineLevel="0" collapsed="false">
      <c r="A15" s="131" t="s">
        <v>41</v>
      </c>
      <c r="B15" s="132" t="n">
        <v>0</v>
      </c>
      <c r="C15" s="133"/>
      <c r="D15" s="110"/>
      <c r="E15" s="110"/>
      <c r="F15" s="111" t="n">
        <f aca="false">($B15*$B$7+$C15*$C$7)/100</f>
        <v>0</v>
      </c>
      <c r="G15" s="119"/>
      <c r="H15" s="67"/>
      <c r="I15" s="120" t="s">
        <v>42</v>
      </c>
      <c r="J15" s="120"/>
      <c r="K15" s="114" t="n">
        <f aca="false">(COUNTIF($G$23:$G$82,"=PHy"))+(COUNTIF($G$23:$G$82,"=PHe"))+(COUNTIF($G$23:$G$82,"=PHg"))+(COUNTIF($G$23:$G$82,"=PHx"))</f>
        <v>0</v>
      </c>
      <c r="L15" s="115"/>
      <c r="M15" s="134" t="s">
        <v>43</v>
      </c>
      <c r="N15" s="135" t="n">
        <f aca="false">COUNTIF(J23:J82,"=1")</f>
        <v>4</v>
      </c>
      <c r="O15" s="136"/>
      <c r="P15" s="9"/>
      <c r="Q15" s="9"/>
      <c r="R15" s="9"/>
      <c r="S15" s="9"/>
      <c r="T15" s="9"/>
      <c r="U15" s="9"/>
    </row>
    <row r="16" customFormat="false" ht="12.75" hidden="false" customHeight="false" outlineLevel="0" collapsed="false">
      <c r="A16" s="107" t="s">
        <v>44</v>
      </c>
      <c r="B16" s="108" t="n">
        <v>0</v>
      </c>
      <c r="C16" s="109"/>
      <c r="D16" s="137"/>
      <c r="E16" s="137"/>
      <c r="F16" s="138"/>
      <c r="G16" s="138" t="n">
        <f aca="false">($B16*$B$7+$C16*$C$7)/100</f>
        <v>0</v>
      </c>
      <c r="H16" s="67"/>
      <c r="I16" s="120"/>
      <c r="J16" s="139"/>
      <c r="K16" s="139"/>
      <c r="L16" s="115"/>
      <c r="M16" s="134" t="s">
        <v>45</v>
      </c>
      <c r="N16" s="135" t="n">
        <f aca="false">COUNTIF(J23:J82,"=2")</f>
        <v>3</v>
      </c>
      <c r="O16" s="136"/>
      <c r="P16" s="9"/>
      <c r="Q16" s="9"/>
      <c r="R16" s="9"/>
      <c r="S16" s="9"/>
      <c r="T16" s="9"/>
      <c r="U16" s="9"/>
    </row>
    <row r="17" customFormat="false" ht="12.75" hidden="false" customHeight="false" outlineLevel="0" collapsed="false">
      <c r="A17" s="116" t="s">
        <v>46</v>
      </c>
      <c r="B17" s="117" t="n">
        <v>5.8</v>
      </c>
      <c r="C17" s="118"/>
      <c r="D17" s="110"/>
      <c r="E17" s="110"/>
      <c r="F17" s="140"/>
      <c r="G17" s="111" t="n">
        <f aca="false">($B17*$B$7+$C17*$C$7)/100</f>
        <v>5.8</v>
      </c>
      <c r="H17" s="67"/>
      <c r="I17" s="120"/>
      <c r="J17" s="120"/>
      <c r="K17" s="139"/>
      <c r="L17" s="115"/>
      <c r="M17" s="134" t="s">
        <v>47</v>
      </c>
      <c r="N17" s="135" t="n">
        <f aca="false">COUNTIF(J23:J82,"=3")</f>
        <v>1</v>
      </c>
      <c r="O17" s="136"/>
      <c r="P17" s="9"/>
      <c r="Q17" s="9"/>
      <c r="R17" s="9"/>
      <c r="S17" s="9"/>
      <c r="T17" s="9"/>
      <c r="U17" s="9"/>
    </row>
    <row r="18" customFormat="false" ht="12.75" hidden="false" customHeight="false" outlineLevel="0" collapsed="false">
      <c r="A18" s="141" t="s">
        <v>48</v>
      </c>
      <c r="B18" s="142" t="n">
        <v>0</v>
      </c>
      <c r="C18" s="143"/>
      <c r="D18" s="110"/>
      <c r="E18" s="144" t="s">
        <v>49</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5.8</v>
      </c>
      <c r="G19" s="152" t="n">
        <f aca="false">SUM(G16:G18)</f>
        <v>5.8</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50</v>
      </c>
      <c r="B20" s="160" t="n">
        <f aca="false">SUM(B23:B82)</f>
        <v>5.97</v>
      </c>
      <c r="C20" s="161" t="n">
        <f aca="false">SUM(C23:C82)</f>
        <v>0</v>
      </c>
      <c r="D20" s="162"/>
      <c r="E20" s="163" t="s">
        <v>49</v>
      </c>
      <c r="F20" s="164" t="n">
        <f aca="false">($B20*$B$7+$C20*$C$7)/100</f>
        <v>5.97</v>
      </c>
      <c r="G20" s="165"/>
      <c r="H20" s="166"/>
      <c r="I20" s="167"/>
      <c r="J20" s="167"/>
      <c r="K20" s="168"/>
      <c r="L20" s="46"/>
      <c r="M20" s="169"/>
      <c r="N20" s="169"/>
      <c r="O20" s="170"/>
      <c r="P20" s="171" t="s">
        <v>51</v>
      </c>
      <c r="Q20" s="9"/>
      <c r="R20" s="9"/>
      <c r="S20" s="9"/>
      <c r="T20" s="9"/>
      <c r="U20" s="9"/>
      <c r="V20" s="146"/>
    </row>
    <row r="21" customFormat="false" ht="12.75" hidden="false" customHeight="false" outlineLevel="0" collapsed="false">
      <c r="A21" s="172" t="s">
        <v>52</v>
      </c>
      <c r="B21" s="173" t="n">
        <f aca="false">B20*B7/100</f>
        <v>5.97</v>
      </c>
      <c r="C21" s="173" t="n">
        <f aca="false">C20*C7/100</f>
        <v>0</v>
      </c>
      <c r="D21" s="110" t="str">
        <f aca="false">IF(F21=0,"",IF((ABS(F21-F19))&gt;(0.2*F21),CONCATENATE(" rec. par taxa (",F21," %) supérieur à 20 % !"),""))</f>
        <v/>
      </c>
      <c r="E21" s="174" t="str">
        <f aca="false">IF(F21=0,"",IF((ABS(F21-F19))&gt;(0.2*F21),CONCATENATE("ATTENTION : écart entre rec. par grp (",F19," %) ","et",""),""))</f>
        <v/>
      </c>
      <c r="F21" s="175" t="n">
        <f aca="false">B21+C21</f>
        <v>5.97</v>
      </c>
      <c r="G21" s="176"/>
      <c r="H21" s="110"/>
      <c r="I21" s="177"/>
      <c r="J21" s="177"/>
      <c r="K21" s="178"/>
      <c r="L21" s="178"/>
      <c r="M21" s="179"/>
      <c r="N21" s="179"/>
      <c r="O21" s="180"/>
      <c r="P21" s="181" t="s">
        <v>53</v>
      </c>
      <c r="Q21" s="9"/>
      <c r="R21" s="9"/>
      <c r="S21" s="9"/>
      <c r="T21" s="9"/>
      <c r="U21" s="9"/>
      <c r="V21" s="146"/>
    </row>
    <row r="22" customFormat="false" ht="12.75" hidden="false" customHeight="false" outlineLevel="0" collapsed="false">
      <c r="A22" s="182" t="s">
        <v>54</v>
      </c>
      <c r="B22" s="183" t="s">
        <v>55</v>
      </c>
      <c r="C22" s="184" t="s">
        <v>55</v>
      </c>
      <c r="D22" s="137"/>
      <c r="E22" s="137"/>
      <c r="F22" s="185" t="s">
        <v>56</v>
      </c>
      <c r="G22" s="186" t="s">
        <v>57</v>
      </c>
      <c r="H22" s="137"/>
      <c r="I22" s="187" t="s">
        <v>58</v>
      </c>
      <c r="J22" s="187" t="s">
        <v>59</v>
      </c>
      <c r="K22" s="188" t="s">
        <v>60</v>
      </c>
      <c r="L22" s="188"/>
      <c r="M22" s="188"/>
      <c r="N22" s="188"/>
      <c r="O22" s="188"/>
      <c r="P22" s="189" t="s">
        <v>61</v>
      </c>
      <c r="Q22" s="190" t="s">
        <v>62</v>
      </c>
      <c r="R22" s="191" t="s">
        <v>63</v>
      </c>
      <c r="S22" s="192" t="s">
        <v>64</v>
      </c>
      <c r="T22" s="193" t="s">
        <v>65</v>
      </c>
      <c r="U22" s="191" t="s">
        <v>66</v>
      </c>
      <c r="X22" s="9" t="s">
        <v>67</v>
      </c>
      <c r="Y22" s="9" t="s">
        <v>68</v>
      </c>
      <c r="Z22" s="194" t="s">
        <v>69</v>
      </c>
      <c r="AA22" s="194" t="s">
        <v>70</v>
      </c>
    </row>
    <row r="23" customFormat="false" ht="12.75" hidden="false" customHeight="false" outlineLevel="0" collapsed="false">
      <c r="A23" s="195" t="s">
        <v>71</v>
      </c>
      <c r="B23" s="196" t="n">
        <v>5</v>
      </c>
      <c r="C23" s="197"/>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5</v>
      </c>
      <c r="Q23" s="208" t="n">
        <f aca="false">IF(OR(ISTEXT(H23),P23=0),"",IF(P23&lt;0.1,1,IF(P23&lt;1,2,IF(P23&lt;10,3,IF(P23&lt;50,4,IF(P23&gt;=50,5,""))))))</f>
        <v>3</v>
      </c>
      <c r="R23" s="208" t="n">
        <f aca="false">IF(ISERROR(Q23*I23),0,Q23*I23)</f>
        <v>18</v>
      </c>
      <c r="S23" s="208" t="n">
        <f aca="false">IF(ISERROR(Q23*I23*J23),0,Q23*I23*J23)</f>
        <v>18</v>
      </c>
      <c r="T23" s="208" t="n">
        <f aca="false">IF(ISERROR(Q23*J23),0,Q23*J23)</f>
        <v>3</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72</v>
      </c>
      <c r="B24" s="215" t="n">
        <v>0.25</v>
      </c>
      <c r="C24" s="216"/>
      <c r="D24" s="217" t="str">
        <f aca="false">IF(ISERROR(VLOOKUP($A24,'[1]liste reference'!$A$7:$D$906,2,0)),IF(ISERROR(VLOOKUP($A24,'[1]liste reference'!$B$7:$D$906,1,0)),"",VLOOKUP($A24,'[1]liste reference'!$B$7:$D$906,1,0)),VLOOKUP($A24,'[1]liste reference'!$A$7:$D$906,2,0))</f>
        <v>Lyngbya sp.</v>
      </c>
      <c r="E24" s="217" t="e">
        <f aca="false">IF(D24="",0,VLOOKUP(D24,D$22:D23,1,0))</f>
        <v>#N/A</v>
      </c>
      <c r="F24" s="218" t="n">
        <f aca="false">($B24*$B$7+$C24*$C$7)/100</f>
        <v>0.25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10</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Lyngbya sp.</v>
      </c>
      <c r="L24" s="222"/>
      <c r="M24" s="222"/>
      <c r="N24" s="222"/>
      <c r="O24" s="206"/>
      <c r="P24" s="207" t="n">
        <f aca="false">IF(ISTEXT(H24),"",(B24*$B$7/100)+(C24*$C$7/100))</f>
        <v>0.25</v>
      </c>
      <c r="Q24" s="208" t="n">
        <f aca="false">IF(OR(ISTEXT(H24),P24=0),"",IF(P24&lt;0.1,1,IF(P24&lt;1,2,IF(P24&lt;10,3,IF(P24&lt;50,4,IF(P24&gt;=50,5,""))))))</f>
        <v>2</v>
      </c>
      <c r="R24" s="208" t="n">
        <f aca="false">IF(ISERROR(Q24*I24),0,Q24*I24)</f>
        <v>20</v>
      </c>
      <c r="S24" s="208" t="n">
        <f aca="false">IF(ISERROR(Q24*I24*J24),0,Q24*I24*J24)</f>
        <v>40</v>
      </c>
      <c r="T24" s="223" t="n">
        <f aca="false">IF(ISERROR(Q24*J24),0,Q24*J24)</f>
        <v>4</v>
      </c>
      <c r="U24" s="209" t="str">
        <f aca="false">IF(AND(A24="",F24=0),"",IF(F24=0,"Il manque le(s) % de rec. !",""))</f>
        <v/>
      </c>
      <c r="V24" s="210"/>
      <c r="X24" s="211" t="str">
        <f aca="false">IF(A24="new.cod","NEW.COD",IF(AND((Y24=""),ISTEXT(A24)),A24,IF(Y24="","",INDEX('[1]liste reference'!$A$7:$A$906,Y24))))</f>
        <v>LYN.SPX</v>
      </c>
      <c r="Y24" s="9" t="n">
        <f aca="false">IF(ISERROR(MATCH(A24,'[1]liste reference'!$A$7:$A$906,0)),IF(ISERROR(MATCH(A24,'[1]liste reference'!$B$7:$B$906,0)),"",(MATCH(A24,'[1]liste reference'!$B$7:$B$906,0))),(MATCH(A24,'[1]liste reference'!$A$7:$A$906,0)))</f>
        <v>36</v>
      </c>
      <c r="Z24" s="212"/>
      <c r="AA24" s="213"/>
      <c r="BB24" s="9" t="n">
        <f aca="false">IF(A24="","",1)</f>
        <v>1</v>
      </c>
    </row>
    <row r="25" customFormat="false" ht="12.75" hidden="false" customHeight="false" outlineLevel="0" collapsed="false">
      <c r="A25" s="214" t="s">
        <v>73</v>
      </c>
      <c r="B25" s="215" t="n">
        <v>0.25</v>
      </c>
      <c r="C25" s="216"/>
      <c r="D25" s="217" t="str">
        <f aca="false">IF(ISERROR(VLOOKUP($A25,'[1]liste reference'!$A$7:$D$906,2,0)),IF(ISERROR(VLOOKUP($A25,'[1]liste reference'!$B$7:$D$906,1,0)),"",VLOOKUP($A25,'[1]liste reference'!$B$7:$D$906,1,0)),VLOOKUP($A25,'[1]liste reference'!$A$7:$D$906,2,0))</f>
        <v>Oscillatoria sp.       </v>
      </c>
      <c r="E25" s="217" t="e">
        <f aca="false">IF(D25="",0,VLOOKUP(D25,D$22:D24,1,0))</f>
        <v>#N/A</v>
      </c>
      <c r="F25" s="218" t="n">
        <f aca="false">($B25*$B$7+$C25*$C$7)/100</f>
        <v>0.25</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11</v>
      </c>
      <c r="J25" s="203" t="n">
        <f aca="false">IF(ISNUMBER(H25),IF(ISERROR(VLOOKUP($A25,'[1]liste reference'!$A$7:$P$906,4,0)),IF(ISERROR(VLOOKUP($A25,'[1]liste reference'!$B$7:$P$906,3,0)),"",VLOOKUP($A25,'[1]liste reference'!$B$7:$P$906,3,0)),VLOOKUP($A25,'[1]liste reference'!$A$7:$P$906,4,0)),"")</f>
        <v>1</v>
      </c>
      <c r="K25" s="221" t="str">
        <f aca="false">IF(A25="NEW.COD",AA25,IF(ISTEXT($E25),"DEJA SAISI !",IF(A25="","",IF(ISERROR(VLOOKUP($A25,'[1]liste reference'!$A$7:$D$906,2,0)),IF(ISERROR(VLOOKUP($A25,'[1]liste reference'!$B$7:$D$906,1,0)),"code non répertorié ou synonyme",VLOOKUP($A25,'[1]liste reference'!$B$7:$D$906,1,0)),VLOOKUP(A25,'[1]liste reference'!$A$7:$D$906,2,0)))))</f>
        <v>Oscillatoria sp.       </v>
      </c>
      <c r="L25" s="222"/>
      <c r="M25" s="222"/>
      <c r="N25" s="222"/>
      <c r="O25" s="206"/>
      <c r="P25" s="207" t="n">
        <f aca="false">IF(ISTEXT(H25),"",(B25*$B$7/100)+(C25*$C$7/100))</f>
        <v>0.25</v>
      </c>
      <c r="Q25" s="208" t="n">
        <f aca="false">IF(OR(ISTEXT(H25),P25=0),"",IF(P25&lt;0.1,1,IF(P25&lt;1,2,IF(P25&lt;10,3,IF(P25&lt;50,4,IF(P25&gt;=50,5,""))))))</f>
        <v>2</v>
      </c>
      <c r="R25" s="208" t="n">
        <f aca="false">IF(ISERROR(Q25*I25),0,Q25*I25)</f>
        <v>22</v>
      </c>
      <c r="S25" s="208" t="n">
        <f aca="false">IF(ISERROR(Q25*I25*J25),0,Q25*I25*J25)</f>
        <v>22</v>
      </c>
      <c r="T25" s="223" t="n">
        <f aca="false">IF(ISERROR(Q25*J25),0,Q25*J25)</f>
        <v>2</v>
      </c>
      <c r="U25" s="209" t="str">
        <f aca="false">IF(AND(A25="",F25=0),"",IF(F25=0,"Il manque le(s) % de rec. !",""))</f>
        <v/>
      </c>
      <c r="V25" s="210"/>
      <c r="X25" s="211" t="str">
        <f aca="false">IF(A25="new.cod","NEW.COD",IF(AND((Y25=""),ISTEXT(A25)),A25,IF(Y25="","",INDEX('[1]liste reference'!$A$7:$A$906,Y25))))</f>
        <v>OSC.SPX</v>
      </c>
      <c r="Y25" s="9" t="n">
        <f aca="false">IF(ISERROR(MATCH(A25,'[1]liste reference'!$A$7:$A$906,0)),IF(ISERROR(MATCH(A25,'[1]liste reference'!$B$7:$B$906,0)),"",(MATCH(A25,'[1]liste reference'!$B$7:$B$906,0))),(MATCH(A25,'[1]liste reference'!$A$7:$A$906,0)))</f>
        <v>57</v>
      </c>
      <c r="Z25" s="212"/>
      <c r="AA25" s="213"/>
      <c r="BB25" s="9" t="n">
        <f aca="false">IF(A25="","",1)</f>
        <v>1</v>
      </c>
    </row>
    <row r="26" customFormat="false" ht="12.75" hidden="false" customHeight="false" outlineLevel="0" collapsed="false">
      <c r="A26" s="214" t="s">
        <v>74</v>
      </c>
      <c r="B26" s="215" t="n">
        <v>0.01</v>
      </c>
      <c r="C26" s="216"/>
      <c r="D26" s="217" t="str">
        <f aca="false">IF(ISERROR(VLOOKUP($A26,'[1]liste reference'!$A$7:$D$906,2,0)),IF(ISERROR(VLOOKUP($A26,'[1]liste reference'!$B$7:$D$906,1,0)),"",VLOOKUP($A26,'[1]liste reference'!$B$7:$D$906,1,0)),VLOOKUP($A26,'[1]liste reference'!$A$7:$D$906,2,0))</f>
        <v>Rhizoclonium sp.       </v>
      </c>
      <c r="E26" s="217" t="e">
        <f aca="false">IF(D26="",0,VLOOKUP(D26,D$22:D25,1,0))</f>
        <v>#N/A</v>
      </c>
      <c r="F26" s="218" t="n">
        <f aca="false">($B26*$B$7+$C26*$C$7)/100</f>
        <v>0.01</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n">
        <f aca="false">IF(ISNUMBER(H26),IF(ISERROR(VLOOKUP($A26,'[1]liste reference'!$A$7:$P$906,3,0)),IF(ISERROR(VLOOKUP($A26,'[1]liste reference'!$B$7:$P$906,2,0)),"",VLOOKUP($A26,'[1]liste reference'!$B$7:$P$906,2,0)),VLOOKUP($A26,'[1]liste reference'!$A$7:$P$906,3,0)),"")</f>
        <v>4</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Rhizoclonium sp.       </v>
      </c>
      <c r="L26" s="222"/>
      <c r="M26" s="222"/>
      <c r="N26" s="222"/>
      <c r="O26" s="206"/>
      <c r="P26" s="207" t="n">
        <f aca="false">IF(ISTEXT(H26),"",(B26*$B$7/100)+(C26*$C$7/100))</f>
        <v>0.01</v>
      </c>
      <c r="Q26" s="208" t="n">
        <f aca="false">IF(OR(ISTEXT(H26),P26=0),"",IF(P26&lt;0.1,1,IF(P26&lt;1,2,IF(P26&lt;10,3,IF(P26&lt;50,4,IF(P26&gt;=50,5,""))))))</f>
        <v>1</v>
      </c>
      <c r="R26" s="208" t="n">
        <f aca="false">IF(ISERROR(Q26*I26),0,Q26*I26)</f>
        <v>4</v>
      </c>
      <c r="S26" s="208" t="n">
        <f aca="false">IF(ISERROR(Q26*I26*J26),0,Q26*I26*J26)</f>
        <v>8</v>
      </c>
      <c r="T26" s="223" t="n">
        <f aca="false">IF(ISERROR(Q26*J26),0,Q26*J26)</f>
        <v>2</v>
      </c>
      <c r="U26" s="209" t="str">
        <f aca="false">IF(AND(A26="",F26=0),"",IF(F26=0,"Il manque le(s) % de rec. !",""))</f>
        <v/>
      </c>
      <c r="V26" s="210"/>
      <c r="X26" s="211" t="str">
        <f aca="false">IF(A26="new.cod","NEW.COD",IF(AND((Y26=""),ISTEXT(A26)),A26,IF(Y26="","",INDEX('[1]liste reference'!$A$7:$A$906,Y26))))</f>
        <v>RHI.SPX</v>
      </c>
      <c r="Y26" s="9" t="n">
        <f aca="false">IF(ISERROR(MATCH(A26,'[1]liste reference'!$A$7:$A$906,0)),IF(ISERROR(MATCH(A26,'[1]liste reference'!$B$7:$B$906,0)),"",(MATCH(A26,'[1]liste reference'!$B$7:$B$906,0))),(MATCH(A26,'[1]liste reference'!$A$7:$A$906,0)))</f>
        <v>63</v>
      </c>
      <c r="Z26" s="212"/>
      <c r="AA26" s="213"/>
      <c r="BB26" s="9" t="n">
        <f aca="false">IF(A26="","",1)</f>
        <v>1</v>
      </c>
    </row>
    <row r="27" customFormat="false" ht="12.75" hidden="false" customHeight="false" outlineLevel="0" collapsed="false">
      <c r="A27" s="214" t="s">
        <v>75</v>
      </c>
      <c r="B27" s="215" t="n">
        <v>0.01</v>
      </c>
      <c r="C27" s="216"/>
      <c r="D27" s="217" t="str">
        <f aca="false">IF(ISERROR(VLOOKUP($A27,'[1]liste reference'!$A$7:$D$906,2,0)),IF(ISERROR(VLOOKUP($A27,'[1]liste reference'!$B$7:$D$906,1,0)),"",VLOOKUP($A27,'[1]liste reference'!$B$7:$D$906,1,0)),VLOOKUP($A27,'[1]liste reference'!$A$7:$D$906,2,0))</f>
        <v>Spirogyra sp.       </v>
      </c>
      <c r="E27" s="217" t="e">
        <f aca="false">IF(D27="",0,VLOOKUP(D27,D$22:D26,1,0))</f>
        <v>#N/A</v>
      </c>
      <c r="F27" s="218" t="n">
        <f aca="false">($B27*$B$7+$C27*$C$7)/100</f>
        <v>0.01</v>
      </c>
      <c r="G27" s="219" t="str">
        <f aca="false">IF(A27="","",IF(ISERROR(VLOOKUP($A27,'[1]liste reference'!$A$7:$P$906,13,0)),IF(ISERROR(VLOOKUP($A27,'[1]liste reference'!$B$7:$P$906,12,0)),"    -",VLOOKUP($A27,'[1]liste reference'!$B$7:$P$906,12,0)),VLOOKUP($A27,'[1]liste reference'!$A$7:$P$906,13,0)))</f>
        <v>ALG</v>
      </c>
      <c r="H27" s="201" t="n">
        <f aca="false">IF(A27="","x",IF(ISERROR(VLOOKUP($A27,'[1]liste reference'!$A$7:$P$906,14,0)),IF(ISERROR(VLOOKUP($A27,'[1]liste reference'!$B$7:$P$906,13,0)),"x",VLOOKUP($A27,'[1]liste reference'!$B$7:$P$906,13,0)),VLOOKUP($A27,'[1]liste reference'!$A$7:$P$906,14,0)))</f>
        <v>2</v>
      </c>
      <c r="I27" s="220" t="n">
        <f aca="false">IF(ISNUMBER(H27),IF(ISERROR(VLOOKUP($A27,'[1]liste reference'!$A$7:$P$906,3,0)),IF(ISERROR(VLOOKUP($A27,'[1]liste reference'!$B$7:$P$906,2,0)),"",VLOOKUP($A27,'[1]liste reference'!$B$7:$P$906,2,0)),VLOOKUP($A27,'[1]liste reference'!$A$7:$P$906,3,0)),"")</f>
        <v>10</v>
      </c>
      <c r="J27" s="203" t="n">
        <f aca="false">IF(ISNUMBER(H27),IF(ISERROR(VLOOKUP($A27,'[1]liste reference'!$A$7:$P$906,4,0)),IF(ISERROR(VLOOKUP($A27,'[1]liste reference'!$B$7:$P$906,3,0)),"",VLOOKUP($A27,'[1]liste reference'!$B$7:$P$906,3,0)),VLOOKUP($A27,'[1]liste reference'!$A$7:$P$906,4,0)),"")</f>
        <v>1</v>
      </c>
      <c r="K27" s="221" t="str">
        <f aca="false">IF(A27="NEW.COD",AA27,IF(ISTEXT($E27),"DEJA SAISI !",IF(A27="","",IF(ISERROR(VLOOKUP($A27,'[1]liste reference'!$A$7:$D$906,2,0)),IF(ISERROR(VLOOKUP($A27,'[1]liste reference'!$B$7:$D$906,1,0)),"code non répertorié ou synonyme",VLOOKUP($A27,'[1]liste reference'!$B$7:$D$906,1,0)),VLOOKUP(A27,'[1]liste reference'!$A$7:$D$906,2,0)))))</f>
        <v>Spirogyra sp.       </v>
      </c>
      <c r="L27" s="222"/>
      <c r="M27" s="222"/>
      <c r="N27" s="222"/>
      <c r="O27" s="206"/>
      <c r="P27" s="207" t="n">
        <f aca="false">IF(ISTEXT(H27),"",(B27*$B$7/100)+(C27*$C$7/100))</f>
        <v>0.01</v>
      </c>
      <c r="Q27" s="208" t="n">
        <f aca="false">IF(OR(ISTEXT(H27),P27=0),"",IF(P27&lt;0.1,1,IF(P27&lt;1,2,IF(P27&lt;10,3,IF(P27&lt;50,4,IF(P27&gt;=50,5,""))))))</f>
        <v>1</v>
      </c>
      <c r="R27" s="208" t="n">
        <f aca="false">IF(ISERROR(Q27*I27),0,Q27*I27)</f>
        <v>10</v>
      </c>
      <c r="S27" s="208" t="n">
        <f aca="false">IF(ISERROR(Q27*I27*J27),0,Q27*I27*J27)</f>
        <v>10</v>
      </c>
      <c r="T27" s="223" t="n">
        <f aca="false">IF(ISERROR(Q27*J27),0,Q27*J27)</f>
        <v>1</v>
      </c>
      <c r="U27" s="209" t="str">
        <f aca="false">IF(AND(A27="",F27=0),"",IF(F27=0,"Il manque le(s) % de rec. !",""))</f>
        <v/>
      </c>
      <c r="V27" s="210"/>
      <c r="X27" s="211" t="str">
        <f aca="false">IF(A27="new.cod","NEW.COD",IF(AND((Y27=""),ISTEXT(A27)),A27,IF(Y27="","",INDEX('[1]liste reference'!$A$7:$A$906,Y27))))</f>
        <v>SPI.SPX</v>
      </c>
      <c r="Y27" s="9" t="n">
        <f aca="false">IF(ISERROR(MATCH(A27,'[1]liste reference'!$A$7:$A$906,0)),IF(ISERROR(MATCH(A27,'[1]liste reference'!$B$7:$B$906,0)),"",(MATCH(A27,'[1]liste reference'!$B$7:$B$906,0))),(MATCH(A27,'[1]liste reference'!$A$7:$A$906,0)))</f>
        <v>70</v>
      </c>
      <c r="Z27" s="212"/>
      <c r="AA27" s="213"/>
      <c r="BB27" s="9" t="n">
        <f aca="false">IF(A27="","",1)</f>
        <v>1</v>
      </c>
    </row>
    <row r="28" customFormat="false" ht="12.75" hidden="false" customHeight="false" outlineLevel="0" collapsed="false">
      <c r="A28" s="214" t="s">
        <v>76</v>
      </c>
      <c r="B28" s="215" t="n">
        <v>0.15</v>
      </c>
      <c r="C28" s="216"/>
      <c r="D28" s="217" t="str">
        <f aca="false">IF(ISERROR(VLOOKUP($A28,'[1]liste reference'!$A$7:$D$906,2,0)),IF(ISERROR(VLOOKUP($A28,'[1]liste reference'!$B$7:$D$906,1,0)),"",VLOOKUP($A28,'[1]liste reference'!$B$7:$D$906,1,0)),VLOOKUP($A28,'[1]liste reference'!$A$7:$D$906,2,0))</f>
        <v>Ulothrix sp.       </v>
      </c>
      <c r="E28" s="217" t="e">
        <f aca="false">IF(D28="",0,VLOOKUP(D28,D$22:D27,1,0))</f>
        <v>#N/A</v>
      </c>
      <c r="F28" s="218" t="n">
        <f aca="false">($B28*$B$7+$C28*$C$7)/100</f>
        <v>0.15</v>
      </c>
      <c r="G28" s="219" t="str">
        <f aca="false">IF(A28="","",IF(ISERROR(VLOOKUP($A28,'[1]liste reference'!$A$7:$P$906,13,0)),IF(ISERROR(VLOOKUP($A28,'[1]liste reference'!$B$7:$P$906,12,0)),"    -",VLOOKUP($A28,'[1]liste reference'!$B$7:$P$906,12,0)),VLOOKUP($A28,'[1]liste reference'!$A$7:$P$906,13,0)))</f>
        <v>ALG</v>
      </c>
      <c r="H28" s="201" t="n">
        <f aca="false">IF(A28="","x",IF(ISERROR(VLOOKUP($A28,'[1]liste reference'!$A$7:$P$906,14,0)),IF(ISERROR(VLOOKUP($A28,'[1]liste reference'!$B$7:$P$906,13,0)),"x",VLOOKUP($A28,'[1]liste reference'!$B$7:$P$906,13,0)),VLOOKUP($A28,'[1]liste reference'!$A$7:$P$906,14,0)))</f>
        <v>2</v>
      </c>
      <c r="I28" s="220" t="n">
        <f aca="false">IF(ISNUMBER(H28),IF(ISERROR(VLOOKUP($A28,'[1]liste reference'!$A$7:$P$906,3,0)),IF(ISERROR(VLOOKUP($A28,'[1]liste reference'!$B$7:$P$906,2,0)),"",VLOOKUP($A28,'[1]liste reference'!$B$7:$P$906,2,0)),VLOOKUP($A28,'[1]liste reference'!$A$7:$P$906,3,0)),"")</f>
        <v>10</v>
      </c>
      <c r="J28" s="203" t="n">
        <f aca="false">IF(ISNUMBER(H28),IF(ISERROR(VLOOKUP($A28,'[1]liste reference'!$A$7:$P$906,4,0)),IF(ISERROR(VLOOKUP($A28,'[1]liste reference'!$B$7:$P$906,3,0)),"",VLOOKUP($A28,'[1]liste reference'!$B$7:$P$906,3,0)),VLOOKUP($A28,'[1]liste reference'!$A$7:$P$906,4,0)),"")</f>
        <v>1</v>
      </c>
      <c r="K28" s="221" t="str">
        <f aca="false">IF(A28="NEW.COD",AA28,IF(ISTEXT($E28),"DEJA SAISI !",IF(A28="","",IF(ISERROR(VLOOKUP($A28,'[1]liste reference'!$A$7:$D$906,2,0)),IF(ISERROR(VLOOKUP($A28,'[1]liste reference'!$B$7:$D$906,1,0)),"code non répertorié ou synonyme",VLOOKUP($A28,'[1]liste reference'!$B$7:$D$906,1,0)),VLOOKUP(A28,'[1]liste reference'!$A$7:$D$906,2,0)))))</f>
        <v>Ulothrix sp.       </v>
      </c>
      <c r="L28" s="222"/>
      <c r="M28" s="222"/>
      <c r="N28" s="222"/>
      <c r="O28" s="206"/>
      <c r="P28" s="207" t="n">
        <f aca="false">IF(ISTEXT(H28),"",(B28*$B$7/100)+(C28*$C$7/100))</f>
        <v>0.15</v>
      </c>
      <c r="Q28" s="208" t="n">
        <f aca="false">IF(OR(ISTEXT(H28),P28=0),"",IF(P28&lt;0.1,1,IF(P28&lt;1,2,IF(P28&lt;10,3,IF(P28&lt;50,4,IF(P28&gt;=50,5,""))))))</f>
        <v>2</v>
      </c>
      <c r="R28" s="208" t="n">
        <f aca="false">IF(ISERROR(Q28*I28),0,Q28*I28)</f>
        <v>20</v>
      </c>
      <c r="S28" s="208" t="n">
        <f aca="false">IF(ISERROR(Q28*I28*J28),0,Q28*I28*J28)</f>
        <v>20</v>
      </c>
      <c r="T28" s="223" t="n">
        <f aca="false">IF(ISERROR(Q28*J28),0,Q28*J28)</f>
        <v>2</v>
      </c>
      <c r="U28" s="209" t="str">
        <f aca="false">IF(AND(A28="",F28=0),"",IF(F28=0,"Il manque le(s) % de rec. !",""))</f>
        <v/>
      </c>
      <c r="V28" s="210"/>
      <c r="X28" s="211" t="str">
        <f aca="false">IF(A28="new.cod","NEW.COD",IF(AND((Y28=""),ISTEXT(A28)),A28,IF(Y28="","",INDEX('[1]liste reference'!$A$7:$A$906,Y28))))</f>
        <v>ULO.SPX</v>
      </c>
      <c r="Y28" s="9" t="n">
        <f aca="false">IF(ISERROR(MATCH(A28,'[1]liste reference'!$A$7:$A$906,0)),IF(ISERROR(MATCH(A28,'[1]liste reference'!$B$7:$B$906,0)),"",(MATCH(A28,'[1]liste reference'!$B$7:$B$906,0))),(MATCH(A28,'[1]liste reference'!$A$7:$A$906,0)))</f>
        <v>82</v>
      </c>
      <c r="Z28" s="212"/>
      <c r="AA28" s="213"/>
      <c r="BB28" s="9" t="n">
        <f aca="false">IF(A28="","",1)</f>
        <v>1</v>
      </c>
    </row>
    <row r="29" customFormat="false" ht="12.75" hidden="false" customHeight="false" outlineLevel="0" collapsed="false">
      <c r="A29" s="214" t="s">
        <v>77</v>
      </c>
      <c r="B29" s="215" t="n">
        <v>0.15</v>
      </c>
      <c r="C29" s="216"/>
      <c r="D29" s="217" t="str">
        <f aca="false">IF(ISERROR(VLOOKUP($A29,'[1]liste reference'!$A$7:$D$906,2,0)),IF(ISERROR(VLOOKUP($A29,'[1]liste reference'!$B$7:$D$906,1,0)),"",VLOOKUP($A29,'[1]liste reference'!$B$7:$D$906,1,0)),VLOOKUP($A29,'[1]liste reference'!$A$7:$D$906,2,0))</f>
        <v>Cinclidotus fontinaloides</v>
      </c>
      <c r="E29" s="217" t="e">
        <f aca="false">IF(D29="",0,VLOOKUP(D29,D$22:D28,1,0))</f>
        <v>#N/A</v>
      </c>
      <c r="F29" s="218" t="n">
        <f aca="false">($B29*$B$7+$C29*$C$7)/100</f>
        <v>0.15</v>
      </c>
      <c r="G29" s="219" t="str">
        <f aca="false">IF(A29="","",IF(ISERROR(VLOOKUP($A29,'[1]liste reference'!$A$7:$P$906,13,0)),IF(ISERROR(VLOOKUP($A29,'[1]liste reference'!$B$7:$P$906,12,0)),"    -",VLOOKUP($A29,'[1]liste reference'!$B$7:$P$906,12,0)),VLOOKUP($A29,'[1]liste reference'!$A$7:$P$906,13,0)))</f>
        <v>BRm</v>
      </c>
      <c r="H29" s="201" t="n">
        <f aca="false">IF(A29="","x",IF(ISERROR(VLOOKUP($A29,'[1]liste reference'!$A$7:$P$906,14,0)),IF(ISERROR(VLOOKUP($A29,'[1]liste reference'!$B$7:$P$906,13,0)),"x",VLOOKUP($A29,'[1]liste reference'!$B$7:$P$906,13,0)),VLOOKUP($A29,'[1]liste reference'!$A$7:$P$906,14,0)))</f>
        <v>5</v>
      </c>
      <c r="I29" s="220" t="n">
        <f aca="false">IF(ISNUMBER(H29),IF(ISERROR(VLOOKUP($A29,'[1]liste reference'!$A$7:$P$906,3,0)),IF(ISERROR(VLOOKUP($A29,'[1]liste reference'!$B$7:$P$906,2,0)),"",VLOOKUP($A29,'[1]liste reference'!$B$7:$P$906,2,0)),VLOOKUP($A29,'[1]liste reference'!$A$7:$P$906,3,0)),"")</f>
        <v>12</v>
      </c>
      <c r="J29" s="203" t="n">
        <f aca="false">IF(ISNUMBER(H29),IF(ISERROR(VLOOKUP($A29,'[1]liste reference'!$A$7:$P$906,4,0)),IF(ISERROR(VLOOKUP($A29,'[1]liste reference'!$B$7:$P$906,3,0)),"",VLOOKUP($A29,'[1]liste reference'!$B$7:$P$906,3,0)),VLOOKUP($A29,'[1]liste reference'!$A$7:$P$906,4,0)),"")</f>
        <v>2</v>
      </c>
      <c r="K29" s="221" t="str">
        <f aca="false">IF(A29="NEW.COD",AA29,IF(ISTEXT($E29),"DEJA SAISI !",IF(A29="","",IF(ISERROR(VLOOKUP($A29,'[1]liste reference'!$A$7:$D$906,2,0)),IF(ISERROR(VLOOKUP($A29,'[1]liste reference'!$B$7:$D$906,1,0)),"code non répertorié ou synonyme",VLOOKUP($A29,'[1]liste reference'!$B$7:$D$906,1,0)),VLOOKUP(A29,'[1]liste reference'!$A$7:$D$906,2,0)))))</f>
        <v>Cinclidotus fontinaloides</v>
      </c>
      <c r="L29" s="222"/>
      <c r="M29" s="222"/>
      <c r="N29" s="222"/>
      <c r="O29" s="206"/>
      <c r="P29" s="207" t="n">
        <f aca="false">IF(ISTEXT(H29),"",(B29*$B$7/100)+(C29*$C$7/100))</f>
        <v>0.15</v>
      </c>
      <c r="Q29" s="208" t="n">
        <f aca="false">IF(OR(ISTEXT(H29),P29=0),"",IF(P29&lt;0.1,1,IF(P29&lt;1,2,IF(P29&lt;10,3,IF(P29&lt;50,4,IF(P29&gt;=50,5,""))))))</f>
        <v>2</v>
      </c>
      <c r="R29" s="208" t="n">
        <f aca="false">IF(ISERROR(Q29*I29),0,Q29*I29)</f>
        <v>24</v>
      </c>
      <c r="S29" s="208" t="n">
        <f aca="false">IF(ISERROR(Q29*I29*J29),0,Q29*I29*J29)</f>
        <v>48</v>
      </c>
      <c r="T29" s="223" t="n">
        <f aca="false">IF(ISERROR(Q29*J29),0,Q29*J29)</f>
        <v>4</v>
      </c>
      <c r="U29" s="209" t="str">
        <f aca="false">IF(AND(A29="",F29=0),"",IF(F29=0,"Il manque le(s) % de rec. !",""))</f>
        <v/>
      </c>
      <c r="V29" s="210"/>
      <c r="X29" s="211" t="str">
        <f aca="false">IF(A29="new.cod","NEW.COD",IF(AND((Y29=""),ISTEXT(A29)),A29,IF(Y29="","",INDEX('[1]liste reference'!$A$7:$A$906,Y29))))</f>
        <v>CIN.FON</v>
      </c>
      <c r="Y29" s="9" t="n">
        <f aca="false">IF(ISERROR(MATCH(A29,'[1]liste reference'!$A$7:$A$906,0)),IF(ISERROR(MATCH(A29,'[1]liste reference'!$B$7:$B$906,0)),"",(MATCH(A29,'[1]liste reference'!$B$7:$B$906,0))),(MATCH(A29,'[1]liste reference'!$A$7:$A$906,0)))</f>
        <v>173</v>
      </c>
      <c r="Z29" s="212"/>
      <c r="AA29" s="213"/>
      <c r="BB29" s="9" t="n">
        <f aca="false">IF(A29="","",1)</f>
        <v>1</v>
      </c>
    </row>
    <row r="30" customFormat="false" ht="12.75" hidden="false" customHeight="false" outlineLevel="0" collapsed="false">
      <c r="A30" s="214" t="s">
        <v>13</v>
      </c>
      <c r="B30" s="215" t="n">
        <v>0.15</v>
      </c>
      <c r="C30" s="216"/>
      <c r="D30" s="217" t="str">
        <f aca="false">IF(ISERROR(VLOOKUP($A30,'[1]liste reference'!$A$7:$D$906,2,0)),IF(ISERROR(VLOOKUP($A30,'[1]liste reference'!$B$7:$D$906,1,0)),"",VLOOKUP($A30,'[1]liste reference'!$B$7:$D$906,1,0)),VLOOKUP($A30,'[1]liste reference'!$A$7:$D$906,2,0))</f>
        <v>Hygrohypnum luridum</v>
      </c>
      <c r="E30" s="217" t="e">
        <f aca="false">IF(D30="",0,VLOOKUP(D30,D$22:D29,1,0))</f>
        <v>#N/A</v>
      </c>
      <c r="F30" s="218" t="n">
        <f aca="false">($B30*$B$7+$C30*$C$7)/100</f>
        <v>0.15</v>
      </c>
      <c r="G30" s="219" t="str">
        <f aca="false">IF(A30="","",IF(ISERROR(VLOOKUP($A30,'[1]liste reference'!$A$7:$P$906,13,0)),IF(ISERROR(VLOOKUP($A30,'[1]liste reference'!$B$7:$P$906,12,0)),"    -",VLOOKUP($A30,'[1]liste reference'!$B$7:$P$906,12,0)),VLOOKUP($A30,'[1]liste reference'!$A$7:$P$906,13,0)))</f>
        <v>BRm</v>
      </c>
      <c r="H30" s="201" t="n">
        <f aca="false">IF(A30="","x",IF(ISERROR(VLOOKUP($A30,'[1]liste reference'!$A$7:$P$906,14,0)),IF(ISERROR(VLOOKUP($A30,'[1]liste reference'!$B$7:$P$906,13,0)),"x",VLOOKUP($A30,'[1]liste reference'!$B$7:$P$906,13,0)),VLOOKUP($A30,'[1]liste reference'!$A$7:$P$906,14,0)))</f>
        <v>5</v>
      </c>
      <c r="I30" s="220" t="n">
        <f aca="false">IF(ISNUMBER(H30),IF(ISERROR(VLOOKUP($A30,'[1]liste reference'!$A$7:$P$906,3,0)),IF(ISERROR(VLOOKUP($A30,'[1]liste reference'!$B$7:$P$906,2,0)),"",VLOOKUP($A30,'[1]liste reference'!$B$7:$P$906,2,0)),VLOOKUP($A30,'[1]liste reference'!$A$7:$P$906,3,0)),"")</f>
        <v>19</v>
      </c>
      <c r="J30" s="203" t="n">
        <f aca="false">IF(ISNUMBER(H30),IF(ISERROR(VLOOKUP($A30,'[1]liste reference'!$A$7:$P$906,4,0)),IF(ISERROR(VLOOKUP($A30,'[1]liste reference'!$B$7:$P$906,3,0)),"",VLOOKUP($A30,'[1]liste reference'!$B$7:$P$906,3,0)),VLOOKUP($A30,'[1]liste reference'!$A$7:$P$906,4,0)),"")</f>
        <v>3</v>
      </c>
      <c r="K30" s="221" t="str">
        <f aca="false">IF(A30="NEW.COD",AA30,IF(ISTEXT($E30),"DEJA SAISI !",IF(A30="","",IF(ISERROR(VLOOKUP($A30,'[1]liste reference'!$A$7:$D$906,2,0)),IF(ISERROR(VLOOKUP($A30,'[1]liste reference'!$B$7:$D$906,1,0)),"code non répertorié ou synonyme",VLOOKUP($A30,'[1]liste reference'!$B$7:$D$906,1,0)),VLOOKUP(A30,'[1]liste reference'!$A$7:$D$906,2,0)))))</f>
        <v>Hygrohypnum luridum</v>
      </c>
      <c r="L30" s="222"/>
      <c r="M30" s="222"/>
      <c r="N30" s="222"/>
      <c r="O30" s="206"/>
      <c r="P30" s="207" t="n">
        <f aca="false">IF(ISTEXT(H30),"",(B30*$B$7/100)+(C30*$C$7/100))</f>
        <v>0.15</v>
      </c>
      <c r="Q30" s="208" t="n">
        <f aca="false">IF(OR(ISTEXT(H30),P30=0),"",IF(P30&lt;0.1,1,IF(P30&lt;1,2,IF(P30&lt;10,3,IF(P30&lt;50,4,IF(P30&gt;=50,5,""))))))</f>
        <v>2</v>
      </c>
      <c r="R30" s="208" t="n">
        <f aca="false">IF(ISERROR(Q30*I30),0,Q30*I30)</f>
        <v>38</v>
      </c>
      <c r="S30" s="208" t="n">
        <f aca="false">IF(ISERROR(Q30*I30*J30),0,Q30*I30*J30)</f>
        <v>114</v>
      </c>
      <c r="T30" s="223" t="n">
        <f aca="false">IF(ISERROR(Q30*J30),0,Q30*J30)</f>
        <v>6</v>
      </c>
      <c r="U30" s="209" t="str">
        <f aca="false">IF(AND(A30="",F30=0),"",IF(F30=0,"Il manque le(s) % de rec. !",""))</f>
        <v/>
      </c>
      <c r="V30" s="210"/>
      <c r="X30" s="211" t="str">
        <f aca="false">IF(A30="new.cod","NEW.COD",IF(AND((Y30=""),ISTEXT(A30)),A30,IF(Y30="","",INDEX('[1]liste reference'!$A$7:$A$906,Y30))))</f>
        <v>HYG.LUR</v>
      </c>
      <c r="Y30" s="9" t="n">
        <f aca="false">IF(ISERROR(MATCH(A30,'[1]liste reference'!$A$7:$A$906,0)),IF(ISERROR(MATCH(A30,'[1]liste reference'!$B$7:$B$906,0)),"",(MATCH(A30,'[1]liste reference'!$B$7:$B$906,0))),(MATCH(A30,'[1]liste reference'!$A$7:$A$906,0)))</f>
        <v>220</v>
      </c>
      <c r="Z30" s="212"/>
      <c r="AA30" s="213"/>
      <c r="BB30" s="9" t="n">
        <f aca="false">IF(A30="","",1)</f>
        <v>1</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IF(D31="",0,VLOOKUP(D31,D$21:D30,1,0))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W31" s="224"/>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2"/>
      <c r="M32" s="222"/>
      <c r="N32" s="222"/>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78</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VAR</v>
      </c>
      <c r="B84" s="247" t="str">
        <f aca="false">C3</f>
        <v>ENTREVAUX</v>
      </c>
      <c r="C84" s="248" t="n">
        <f aca="false">A4</f>
        <v>40386</v>
      </c>
      <c r="D84" s="249" t="n">
        <f aca="false">IF(ISERROR(SUM($S$23:$S$82)/SUM($T$23:$T$82)),"",SUM($S$23:$S$82)/SUM($T$23:$T$82))</f>
        <v>11.6666666666667</v>
      </c>
      <c r="E84" s="250" t="n">
        <f aca="false">N13</f>
        <v>8</v>
      </c>
      <c r="F84" s="247" t="n">
        <f aca="false">N14</f>
        <v>8</v>
      </c>
      <c r="G84" s="247" t="n">
        <f aca="false">N15</f>
        <v>4</v>
      </c>
      <c r="H84" s="247" t="n">
        <f aca="false">N16</f>
        <v>3</v>
      </c>
      <c r="I84" s="247" t="n">
        <f aca="false">N17</f>
        <v>1</v>
      </c>
      <c r="J84" s="251" t="n">
        <f aca="false">N8</f>
        <v>10.25</v>
      </c>
      <c r="K84" s="249" t="n">
        <f aca="false">N9</f>
        <v>4.43202630213959</v>
      </c>
      <c r="L84" s="250" t="n">
        <f aca="false">N10</f>
        <v>4</v>
      </c>
      <c r="M84" s="250" t="n">
        <f aca="false">N11</f>
        <v>19</v>
      </c>
      <c r="N84" s="249" t="n">
        <f aca="false">O8</f>
        <v>1.625</v>
      </c>
      <c r="O84" s="249" t="n">
        <f aca="false">O9</f>
        <v>0.744023809142845</v>
      </c>
      <c r="P84" s="250" t="n">
        <f aca="false">O10</f>
        <v>1</v>
      </c>
      <c r="Q84" s="250" t="n">
        <f aca="false">O11</f>
        <v>3</v>
      </c>
      <c r="R84" s="252" t="n">
        <f aca="false">F21</f>
        <v>5.97</v>
      </c>
      <c r="S84" s="250" t="n">
        <f aca="false">K11</f>
        <v>0</v>
      </c>
      <c r="T84" s="250" t="n">
        <f aca="false">K12</f>
        <v>6</v>
      </c>
      <c r="U84" s="250" t="n">
        <f aca="false">K13</f>
        <v>2</v>
      </c>
      <c r="V84" s="253" t="n">
        <f aca="false">K14</f>
        <v>0</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79</v>
      </c>
      <c r="Q86" s="9"/>
      <c r="R86" s="209"/>
      <c r="S86" s="9"/>
      <c r="T86" s="9"/>
      <c r="U86" s="9"/>
    </row>
    <row r="87" customFormat="false" ht="12.75" hidden="true" customHeight="false" outlineLevel="0" collapsed="false">
      <c r="P87" s="9" t="s">
        <v>80</v>
      </c>
      <c r="Q87" s="9"/>
      <c r="R87" s="209" t="n">
        <f aca="false">VLOOKUP(MAX($R$23:$R$82),($R$23:$T$82),1,0)</f>
        <v>38</v>
      </c>
      <c r="S87" s="9"/>
      <c r="T87" s="9"/>
      <c r="U87" s="9"/>
    </row>
    <row r="88" customFormat="false" ht="12.75" hidden="true" customHeight="false" outlineLevel="0" collapsed="false">
      <c r="P88" s="9" t="s">
        <v>81</v>
      </c>
      <c r="Q88" s="9"/>
      <c r="R88" s="209" t="n">
        <f aca="false">VLOOKUP((R87),($R$23:$T$82),2,0)</f>
        <v>114</v>
      </c>
      <c r="S88" s="9"/>
      <c r="T88" s="9"/>
      <c r="U88" s="9"/>
    </row>
    <row r="89" customFormat="false" ht="12.75" hidden="true" customHeight="false" outlineLevel="0" collapsed="false">
      <c r="P89" s="9" t="s">
        <v>82</v>
      </c>
      <c r="Q89" s="9"/>
      <c r="R89" s="209" t="n">
        <f aca="false">VLOOKUP((R87),($R$23:$T$82),3,0)</f>
        <v>6</v>
      </c>
      <c r="S89" s="9"/>
    </row>
    <row r="90" customFormat="false" ht="12.75" hidden="true" customHeight="false" outlineLevel="0" collapsed="false">
      <c r="P90" s="9" t="s">
        <v>83</v>
      </c>
      <c r="Q90" s="9"/>
      <c r="R90" s="257" t="n">
        <f aca="false">IF(ISERROR(SUM($S$23:$S$82)/SUM($T$23:$T$82)),"",(SUM($S$23:$S$82)-R88)/(SUM($T$23:$T$82)-R89))</f>
        <v>9.22222222222222</v>
      </c>
      <c r="S90" s="9"/>
    </row>
    <row r="91" customFormat="false" ht="12.75" hidden="true" customHeight="false" outlineLevel="0" collapsed="false">
      <c r="P91" s="208" t="s">
        <v>84</v>
      </c>
      <c r="Q91" s="208"/>
      <c r="R91" s="208" t="str">
        <f aca="false">INDEX('[1]liste reference'!$A$7:$A$906,$S$91)</f>
        <v>HYG.LUR</v>
      </c>
      <c r="S91" s="9" t="n">
        <f aca="false">IF(ISERROR(MATCH($R$93,'[1]liste reference'!$A$7:$A$906,0)),MATCH($R$93,'[1]liste reference'!$B$7:$B$906,0),(MATCH($R$93,'[1]liste reference'!$A$7:$A$906,0)))</f>
        <v>220</v>
      </c>
      <c r="T91" s="245"/>
    </row>
    <row r="92" customFormat="false" ht="12.75" hidden="true" customHeight="false" outlineLevel="0" collapsed="false">
      <c r="P92" s="9" t="s">
        <v>85</v>
      </c>
      <c r="Q92" s="9"/>
      <c r="R92" s="9" t="n">
        <f aca="false">MATCH(R87,$R$23:$R$82,0)</f>
        <v>8</v>
      </c>
      <c r="S92" s="9"/>
    </row>
    <row r="93" customFormat="false" ht="12.75" hidden="true" customHeight="false" outlineLevel="0" collapsed="false">
      <c r="P93" s="208" t="s">
        <v>86</v>
      </c>
      <c r="Q93" s="9"/>
      <c r="R93" s="208" t="str">
        <f aca="false">INDEX($A$23:$A$82,$R$92)</f>
        <v>HYG.LUR</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2013-10-22T10:19:28Z</dcterms:created>
  <dc:creator>elise.carnet</dc:creator>
  <dc:description/>
  <dc:language>fr-FR</dc:language>
  <cp:lastModifiedBy>elise.carnet</cp:lastModifiedBy>
  <dcterms:modified xsi:type="dcterms:W3CDTF">2013-10-22T10:19:42Z</dcterms:modified>
  <cp:revision>0</cp:revision>
  <dc:subject/>
  <dc:title/>
</cp:coreProperties>
</file>