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esubie-Utelle" sheetId="1" state="visible" r:id="rId3"/>
  </sheets>
  <externalReferences>
    <externalReference r:id="rId4"/>
  </externalReferences>
  <definedNames>
    <definedName function="false" hidden="false" localSheetId="0" name="_xlnm.Print_Area" vbProcedure="false">'Vesubie-Utelle'!$A$1:$O$82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'Vesubie-Utelle'!$A$23:$J$84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<sst xmlns="http://schemas.openxmlformats.org/spreadsheetml/2006/main" count="95" uniqueCount="91">
  <si>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</si>
  <si>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</si>
  <si>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</si>
  <si>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</si>
  <si>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</si>
  <si>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Vésubie</t>
  </si>
  <si>
    <t xml:space="preserve">Utelle</t>
  </si>
  <si>
    <t xml:space="preserve">06212100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</si>
  <si>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</si>
  <si>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</si>
  <si>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</si>
  <si>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</si>
  <si>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</si>
  <si>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</si>
  <si>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</si>
  <si>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CIN.FON</t>
  </si>
  <si>
    <t xml:space="preserve">Type de faciès</t>
  </si>
  <si>
    <t xml:space="preserve">pl. courant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</si>
  <si>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</si>
  <si>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</si>
  <si>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</si>
  <si>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</si>
  <si>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</si>
  <si>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</si>
  <si>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</si>
  <si>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</si>
  <si>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</si>
  <si>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</si>
  <si>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</si>
  <si>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</si>
  <si>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</si>
  <si>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</si>
  <si>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</si>
  <si>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</si>
  <si>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</si>
  <si>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</si>
  <si>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</si>
  <si>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</si>
  <si>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</si>
  <si>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</si>
  <si>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</si>
  <si>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</si>
  <si>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</si>
  <si>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</si>
  <si>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</si>
  <si>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</si>
  <si>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</si>
  <si>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</si>
  <si>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</si>
  <si>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</si>
  <si>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</si>
  <si>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</si>
  <si>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</si>
  <si>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</si>
  <si>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</si>
  <si>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</si>
  <si>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</si>
  <si>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</si>
  <si>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</si>
  <si>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</si>
  <si>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</si>
  <si>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</si>
  <si>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</si>
  <si>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</si>
  <si>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</si>
  <si>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</si>
  <si>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</si>
  <si>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</si>
  <si>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</si>
  <si>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</si>
  <si>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</si>
  <si>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</si>
  <si>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</si>
  <si>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VAU.SPX</t>
  </si>
  <si>
    <t xml:space="preserve">MEL.SPX</t>
  </si>
  <si>
    <t xml:space="preserve">OED.SPX</t>
  </si>
  <si>
    <t xml:space="preserve">SPT.SPX</t>
  </si>
  <si>
    <t xml:space="preserve">OSC.SPX</t>
  </si>
  <si>
    <t xml:space="preserve">AMB.RIP</t>
  </si>
  <si>
    <t xml:space="preserve">RHY.RIP</t>
  </si>
  <si>
    <t xml:space="preserve">RUM.SPX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</si>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</sst>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40024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6.64285714285714</v>
      </c>
      <c r="M5" s="52"/>
      <c r="N5" s="53" t="s">
        <v>15</v>
      </c>
      <c r="O5" s="54" t="n">
        <v>5.75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7.77777777777778</v>
      </c>
      <c r="O8" s="83" t="n">
        <f aca="false">AVERAGE(J23:J82)</f>
        <v>1.55555555555556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4.20647648804132</v>
      </c>
      <c r="O9" s="83" t="n">
        <f aca="false">STDEV(J23:J82)</f>
        <v>0.726483157256779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0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0.01</v>
      </c>
      <c r="C11" s="109"/>
      <c r="D11" s="110"/>
      <c r="E11" s="110"/>
      <c r="F11" s="111" t="n">
        <f aca="false">($B11*$B$7+$C11*$C$7)/100</f>
        <v>0.01</v>
      </c>
      <c r="G11" s="112"/>
      <c r="H11" s="67"/>
      <c r="I11" s="113" t="s">
        <v>33</v>
      </c>
      <c r="J11" s="113"/>
      <c r="K11" s="114" t="n">
        <f aca="false">COUNTIF($G$23:$G$82,"=HET")</f>
        <v>1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0.03</v>
      </c>
      <c r="C12" s="118"/>
      <c r="D12" s="110"/>
      <c r="E12" s="110"/>
      <c r="F12" s="111" t="n">
        <f aca="false">($B12*$B$7+$C12*$C$7)/100</f>
        <v>0.03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0.03</v>
      </c>
      <c r="C13" s="118"/>
      <c r="D13" s="110"/>
      <c r="E13" s="110"/>
      <c r="F13" s="111" t="n">
        <f aca="false">($B13*$B$7+$C13*$C$7)/100</f>
        <v>0.03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10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9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0.02</v>
      </c>
      <c r="C15" s="133"/>
      <c r="D15" s="110"/>
      <c r="E15" s="110"/>
      <c r="F15" s="111" t="n">
        <f aca="false">($B15*$B$7+$C15*$C$7)/100</f>
        <v>0.02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</v>
      </c>
      <c r="L15" s="115"/>
      <c r="M15" s="134" t="s">
        <v>45</v>
      </c>
      <c r="N15" s="135" t="n">
        <f aca="false">COUNTIF(J23:J82,"=1")</f>
        <v>5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3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0.08</v>
      </c>
      <c r="C17" s="118"/>
      <c r="D17" s="110"/>
      <c r="E17" s="110"/>
      <c r="F17" s="140"/>
      <c r="G17" s="111" t="n">
        <f aca="false">($B17*$B$7+$C17*$C$7)/100</f>
        <v>0.08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0.02</v>
      </c>
      <c r="C18" s="143"/>
      <c r="D18" s="110"/>
      <c r="E18" s="144" t="s">
        <v>51</v>
      </c>
      <c r="F18" s="140"/>
      <c r="G18" s="111" t="n">
        <f aca="false">($B18*$B$7+$C18*$C$7)/100</f>
        <v>0.02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0.1</v>
      </c>
      <c r="G19" s="152" t="n">
        <f aca="false">SUM(G16:G18)</f>
        <v>0.1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0.1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0.1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0.1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0.1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Vaucheria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4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Vaucheria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4</v>
      </c>
      <c r="S23" s="208" t="n">
        <f aca="false">IF(ISERROR(Q23*I23*J23),0,Q23*I23*J23)</f>
        <v>4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VAU.SPX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83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Melosira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Melosira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10</v>
      </c>
      <c r="S24" s="208" t="n">
        <f aca="false">IF(ISERROR(Q24*I24*J24),0,Q24*I24*J24)</f>
        <v>10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MEL.SPX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37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Oedogonium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Oedogonium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6</v>
      </c>
      <c r="S25" s="208" t="n">
        <f aca="false">IF(ISERROR(Q25*I25*J25),0,Q25*I25*J25)</f>
        <v>12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OED.SPX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56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Sphaerotilus sp. 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HET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1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3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Sphaerotilus sp. 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3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SPT.SPX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Oscillatoria sp.       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11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Oscillatoria sp.       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11</v>
      </c>
      <c r="S27" s="208" t="n">
        <f aca="false">IF(ISERROR(Q27*I27*J27),0,Q27*I27*J27)</f>
        <v>11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OSC.SPX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57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Amblystegium riparium (Leptodictyum riparium)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5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Amblystegium riparium (Leptodictyum riparium)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5</v>
      </c>
      <c r="S28" s="208" t="n">
        <f aca="false">IF(ISERROR(Q28*I28*J28),0,Q28*I28*J28)</f>
        <v>10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AMB.RIP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149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15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Cinclidotus fontinaloides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BRm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5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12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Cinclidotus fontinaloides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12</v>
      </c>
      <c r="S29" s="208" t="n">
        <f aca="false">IF(ISERROR(Q29*I29*J29),0,Q29*I29*J29)</f>
        <v>24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CIN.FON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173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Rhynchostegium riparioides (Platyhypnidium rusciforme)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Rhynchostegium riparioides (Platyhypnidium rusciforme)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12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RHY.RIP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253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Rumex sp.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PHg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9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Rumex sp.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RUM.SPX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820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Equisetum palustre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PTE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6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10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Equisetum palustre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10</v>
      </c>
      <c r="S32" s="208" t="n">
        <f aca="false">IF(ISERROR(Q32*I32*J32),0,Q32*I32*J32)</f>
        <v>10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EQU.PAL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282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Vésubie</v>
      </c>
      <c r="B84" s="247" t="str">
        <f aca="false">C3</f>
        <v>Utelle</v>
      </c>
      <c r="C84" s="248" t="n">
        <f aca="false">A4</f>
        <v>40024</v>
      </c>
      <c r="D84" s="249" t="n">
        <f aca="false">IF(ISERROR(SUM($S$23:$S$82)/SUM($T$23:$T$82)),"",SUM($S$23:$S$82)/SUM($T$23:$T$82))</f>
        <v>6.64285714285714</v>
      </c>
      <c r="E84" s="250" t="n">
        <f aca="false">N13</f>
        <v>10</v>
      </c>
      <c r="F84" s="247" t="n">
        <f aca="false">N14</f>
        <v>9</v>
      </c>
      <c r="G84" s="247" t="n">
        <f aca="false">N15</f>
        <v>5</v>
      </c>
      <c r="H84" s="247" t="n">
        <f aca="false">N16</f>
        <v>3</v>
      </c>
      <c r="I84" s="247" t="n">
        <f aca="false">N17</f>
        <v>1</v>
      </c>
      <c r="J84" s="251" t="n">
        <f aca="false">N8</f>
        <v>7.77777777777778</v>
      </c>
      <c r="K84" s="249" t="n">
        <f aca="false">N9</f>
        <v>4.20647648804132</v>
      </c>
      <c r="L84" s="250" t="n">
        <f aca="false">N10</f>
        <v>0</v>
      </c>
      <c r="M84" s="250" t="n">
        <f aca="false">N11</f>
        <v>12</v>
      </c>
      <c r="N84" s="249" t="n">
        <f aca="false">O8</f>
        <v>1.55555555555556</v>
      </c>
      <c r="O84" s="249" t="n">
        <f aca="false">O9</f>
        <v>0.726483157256779</v>
      </c>
      <c r="P84" s="250" t="n">
        <f aca="false">O10</f>
        <v>1</v>
      </c>
      <c r="Q84" s="250" t="n">
        <f aca="false">O11</f>
        <v>3</v>
      </c>
      <c r="R84" s="252" t="n">
        <f aca="false">F21</f>
        <v>0.1</v>
      </c>
      <c r="S84" s="250" t="n">
        <f aca="false">K11</f>
        <v>1</v>
      </c>
      <c r="T84" s="250" t="n">
        <f aca="false">K12</f>
        <v>4</v>
      </c>
      <c r="U84" s="250" t="n">
        <f aca="false">K13</f>
        <v>3</v>
      </c>
      <c r="V84" s="253" t="n">
        <f aca="false">K14</f>
        <v>1</v>
      </c>
      <c r="W84" s="254" t="n">
        <f aca="false">K15</f>
        <v>1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84</v>
      </c>
      <c r="Q87" s="9"/>
      <c r="R87" s="209" t="n">
        <f aca="false">VLOOKUP(MAX($R$23:$R$82),($R$23:$T$82),1,0)</f>
        <v>12</v>
      </c>
      <c r="S87" s="9"/>
      <c r="T87" s="9"/>
      <c r="U87" s="9"/>
    </row>
    <row r="88" customFormat="false" ht="12.75" hidden="true" customHeight="false" outlineLevel="0" collapsed="false">
      <c r="P88" s="9" t="s">
        <v>85</v>
      </c>
      <c r="Q88" s="9"/>
      <c r="R88" s="209" t="n">
        <f aca="false">VLOOKUP((R87),($R$23:$T$82),2,0)</f>
        <v>24</v>
      </c>
      <c r="S88" s="9"/>
      <c r="T88" s="9"/>
      <c r="U88" s="9"/>
    </row>
    <row r="89" customFormat="false" ht="12.75" hidden="true" customHeight="false" outlineLevel="0" collapsed="false">
      <c r="P89" s="9" t="s">
        <v>86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87</v>
      </c>
      <c r="Q90" s="9"/>
      <c r="R90" s="257" t="n">
        <f aca="false">IF(ISERROR(SUM($S$23:$S$82)/SUM($T$23:$T$82)),"",(SUM($S$23:$S$82)-R88)/(SUM($T$23:$T$82)-R89))</f>
        <v>5.75</v>
      </c>
      <c r="S90" s="9"/>
    </row>
    <row r="91" customFormat="false" ht="12.75" hidden="true" customHeight="false" outlineLevel="0" collapsed="false">
      <c r="P91" s="208" t="s">
        <v>88</v>
      </c>
      <c r="Q91" s="208"/>
      <c r="R91" s="208" t="str">
        <f aca="false">INDEX('[1]liste reference'!$A$7:$A$906,$S$91)</f>
        <v>CIN.FON</v>
      </c>
      <c r="S91" s="9" t="n">
        <f aca="false">IF(ISERROR(MATCH($R$93,'[1]liste reference'!$A$7:$A$906,0)),MATCH($R$93,'[1]liste reference'!$B$7:$B$906,0),(MATCH($R$93,'[1]liste reference'!$A$7:$A$906,0)))</f>
        <v>173</v>
      </c>
      <c r="T91" s="245"/>
    </row>
    <row r="92" customFormat="false" ht="12.75" hidden="true" customHeight="false" outlineLevel="0" collapsed="false">
      <c r="P92" s="9" t="s">
        <v>89</v>
      </c>
      <c r="Q92" s="9"/>
      <c r="R92" s="9" t="n">
        <f aca="false">MATCH(R87,$R$23:$R$82,0)</f>
        <v>7</v>
      </c>
      <c r="S92" s="9"/>
    </row>
    <row r="93" customFormat="false" ht="12.75" hidden="true" customHeight="false" outlineLevel="0" collapsed="false">
      <c r="P93" s="208" t="s">
        <v>90</v>
      </c>
      <c r="Q93" s="9"/>
      <c r="R93" s="208" t="str">
        <f aca="false">INDEX($A$23:$A$82,$R$92)</f>
        <v>CIN.FON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2013-10-22T15:32:19Z</dcterms:created>
  <dc:creator>elise.carnet</dc:creator>
  <dc:description/>
  <dc:language>fr-FR</dc:language>
  <cp:lastModifiedBy>elise.carnet</cp:lastModifiedBy>
  <dcterms:modified xsi:type="dcterms:W3CDTF">2013-10-22T15:32:32Z</dcterms:modified>
  <cp:revision>0</cp:revision>
  <dc:subject/>
  <dc:title/>
</cp:coreProperties>
</file>