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12100" sheetId="6" state="visible" r:id="rId8"/>
    <sheet name="jgjg" sheetId="7" state="hidden" r:id="rId9"/>
    <sheet name="liste codes réf" sheetId="8" state="hidden" r:id="rId10"/>
  </sheets>
  <definedNames>
    <definedName function="false" hidden="false" localSheetId="5" name="_xlnm.Print_Area" vbProcedure="false">'06212100'!$A$1:$Q$82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'06212100'!$A$1:$Q$82</definedName>
    <definedName function="false" hidden="false" localSheetId="5" name="_xlnm__FilterDatabase" vbProcedure="false">'06212100'!$A$1:$C$1415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<sst xmlns="http://schemas.openxmlformats.org/spreadsheetml/2006/main" count="8840" uniqueCount="3497">
  <si>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</si>
  <si>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</si>
  <si>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</si>
  <si>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</si>
  <si>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</si>
  <si>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</si>
  <si>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</si>
  <si>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</si>
  <si>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</si>
  <si>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</si>
  <si>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</si>
  <si>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</si>
  <si>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</si>
  <si>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</si>
  <si>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</si>
  <si>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</si>
  <si>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</si>
  <si>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</si>
  <si>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</si>
  <si>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</si>
  <si>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</si>
  <si>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</si>
  <si>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</si>
  <si>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</si>
  <si>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</si>
  <si>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</si>
  <si>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</si>
  <si>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</si>
  <si>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</si>
  <si>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</si>
  <si>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</si>
  <si>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</si>
  <si>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</si>
  <si>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</si>
  <si>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</si>
  <si>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</si>
  <si>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</si>
  <si>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</si>
  <si>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</si>
  <si>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</si>
  <si>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</si>
  <si>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</si>
  <si>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</si>
  <si>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</si>
  <si>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</si>
  <si>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</si>
  <si>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</si>
  <si>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</si>
  <si>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</si>
  <si>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</si>
  <si>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</si>
  <si>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</si>
  <si>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</si>
  <si>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</si>
  <si>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</si>
  <si>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</si>
  <si>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</si>
  <si>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</si>
  <si>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</si>
  <si>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</si>
  <si>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</si>
  <si>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</si>
  <si>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</si>
  <si>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</si>
  <si>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</si>
  <si>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</si>
  <si>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</si>
  <si>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</si>
  <si>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</si>
  <si>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</si>
  <si>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</si>
  <si>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</si>
  <si>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</si>
  <si>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</si>
  <si>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</si>
  <si>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</si>
  <si>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</si>
  <si>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</si>
  <si>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</si>
  <si>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</si>
  <si>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</si>
  <si>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</si>
  <si>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</si>
  <si>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</si>
  <si>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</si>
  <si>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</si>
  <si>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</si>
  <si>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</si>
  <si>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</si>
  <si>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</si>
  <si>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</si>
  <si>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</si>
  <si>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</si>
  <si>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</si>
  <si>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</si>
  <si>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</si>
  <si>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</si>
  <si>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</si>
  <si>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</si>
  <si>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</si>
  <si>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</si>
  <si>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</si>
  <si>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</si>
  <si>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</si>
  <si>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</si>
  <si>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</si>
  <si>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</si>
  <si>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</si>
  <si>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</si>
  <si>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</si>
  <si>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</si>
  <si>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</si>
  <si>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</si>
  <si>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</si>
  <si>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</si>
  <si>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</si>
  <si>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</si>
  <si>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</si>
  <si>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</si>
  <si>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</si>
  <si>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</si>
  <si>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</si>
  <si>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</si>
  <si>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</si>
  <si>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</si>
  <si>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</si>
  <si>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</si>
  <si>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</si>
  <si>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</si>
  <si>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</si>
  <si>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</si>
  <si>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</si>
  <si>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</si>
  <si>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</si>
  <si>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</si>
  <si>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</si>
  <si>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</si>
  <si>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</si>
  <si>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</si>
  <si>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</si>
  <si>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</si>
  <si>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</si>
  <si>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</si>
  <si>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</si>
  <si>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</si>
  <si>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</si>
  <si>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</si>
  <si>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</si>
  <si>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</si>
  <si>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</si>
  <si>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</si>
  <si>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</si>
  <si>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</si>
  <si>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</si>
  <si>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</si>
  <si>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</si>
  <si>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</si>
  <si>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</si>
  <si>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</si>
  <si>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</si>
  <si>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</si>
  <si>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</si>
  <si>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</si>
  <si>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</si>
  <si>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</si>
  <si>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</si>
  <si>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</si>
  <si>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</si>
  <si>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</si>
  <si>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</si>
  <si>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</si>
  <si>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</si>
  <si>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</si>
  <si>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</si>
  <si>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</si>
  <si>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</si>
  <si>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</si>
  <si>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</si>
  <si>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</si>
  <si>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</si>
  <si>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</si>
  <si>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</si>
  <si>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</si>
  <si>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</si>
  <si>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</si>
  <si>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</si>
  <si>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</si>
  <si>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</si>
  <si>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</si>
  <si>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</si>
  <si>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</si>
  <si>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</si>
  <si>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</si>
  <si>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</si>
  <si>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</si>
  <si>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</si>
  <si>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</si>
  <si>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</si>
  <si>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</si>
  <si>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</si>
  <si>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</si>
  <si>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</si>
  <si>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</si>
  <si>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</si>
  <si>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</si>
  <si>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</si>
  <si>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</si>
  <si>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</si>
  <si>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</si>
  <si>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</si>
  <si>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</si>
  <si>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</si>
  <si>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</si>
  <si>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</si>
  <si>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</si>
  <si>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</si>
  <si>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</si>
  <si>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</si>
  <si>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</si>
  <si>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</si>
  <si>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</si>
  <si>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</si>
  <si>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</si>
  <si>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</si>
  <si>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</si>
  <si>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</si>
  <si>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</si>
  <si>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</si>
  <si>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</si>
  <si>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</si>
  <si>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</si>
  <si>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</si>
  <si>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</si>
  <si>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</si>
  <si>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</si>
  <si>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</si>
  <si>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</si>
  <si>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</si>
  <si>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</si>
  <si>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</si>
  <si>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</si>
  <si>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</si>
  <si>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</si>
  <si>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</si>
  <si>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</si>
  <si>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</si>
  <si>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</si>
  <si>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</si>
  <si>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</si>
  <si>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</si>
  <si>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</si>
  <si>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</si>
  <si>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</si>
  <si>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</si>
  <si>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</si>
  <si>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</si>
  <si>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</si>
  <si>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</si>
  <si>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</si>
  <si>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</si>
  <si>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</si>
  <si>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</si>
  <si>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</si>
  <si>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</si>
  <si>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</si>
  <si>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</si>
  <si>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</si>
  <si>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</si>
  <si>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</si>
  <si>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</si>
  <si>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</si>
  <si>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</si>
  <si>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</si>
  <si>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</si>
  <si>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</si>
  <si>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</si>
  <si>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</si>
  <si>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</si>
  <si>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</si>
  <si>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</si>
  <si>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</si>
  <si>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</si>
  <si>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</si>
  <si>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</si>
  <si>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</si>
  <si>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</si>
  <si>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</si>
  <si>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</si>
  <si>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</si>
  <si>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</si>
  <si>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</si>
  <si>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</si>
  <si>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</si>
  <si>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</si>
  <si>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</si>
  <si>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</si>
  <si>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</si>
  <si>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</si>
  <si>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</si>
  <si>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</si>
  <si>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</si>
  <si>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</si>
  <si>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</si>
  <si>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</si>
  <si>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</si>
  <si>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</si>
  <si>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</si>
  <si>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</si>
  <si>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</si>
  <si>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</si>
  <si>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</si>
  <si>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</si>
  <si>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</si>
  <si>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</si>
  <si>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</si>
  <si>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</si>
  <si>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</si>
  <si>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</si>
  <si>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</si>
  <si>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</si>
  <si>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</si>
  <si>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</si>
  <si>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</si>
  <si>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</si>
  <si>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</si>
  <si>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</si>
  <si>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</si>
  <si>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</si>
  <si>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</si>
  <si>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</si>
  <si>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</si>
  <si>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</si>
  <si>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</si>
  <si>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</si>
  <si>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</si>
  <si>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</si>
  <si>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</si>
  <si>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</si>
  <si>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</si>
  <si>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</si>
  <si>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</si>
  <si>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</si>
  <si>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</si>
  <si>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</si>
  <si>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</si>
  <si>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</si>
  <si>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</si>
  <si>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</si>
  <si>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</si>
  <si>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</si>
  <si>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</si>
  <si>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</si>
  <si>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</si>
  <si>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</si>
  <si>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</si>
  <si>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</si>
  <si>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</si>
  <si>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</si>
  <si>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</si>
  <si>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</si>
  <si>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</si>
  <si>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</si>
  <si>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</si>
  <si>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</si>
  <si>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</si>
  <si>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</si>
  <si>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</si>
  <si>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</si>
  <si>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</si>
  <si>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</si>
  <si>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</si>
  <si>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</si>
  <si>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</si>
  <si>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</si>
  <si>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</si>
  <si>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</si>
  <si>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</si>
  <si>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</si>
  <si>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</si>
  <si>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</si>
  <si>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</si>
  <si>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</si>
  <si>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</si>
  <si>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</si>
  <si>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</si>
  <si>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</si>
  <si>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</si>
  <si>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</si>
  <si>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</si>
  <si>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</si>
  <si>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</si>
  <si>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</si>
  <si>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</si>
  <si>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</si>
  <si>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</si>
  <si>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</si>
  <si>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</si>
  <si>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</si>
  <si>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</si>
  <si>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</si>
  <si>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</si>
  <si>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</si>
  <si>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</si>
  <si>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</si>
  <si>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</si>
  <si>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</si>
  <si>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</si>
  <si>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</si>
  <si>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</si>
  <si>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</si>
  <si>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</si>
  <si>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</si>
  <si>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</si>
  <si>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</si>
  <si>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</si>
  <si>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</si>
  <si>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</si>
  <si>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</si>
  <si>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</si>
  <si>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</si>
  <si>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</si>
  <si>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</si>
  <si>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</si>
  <si>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</si>
  <si>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</si>
  <si>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</si>
  <si>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</si>
  <si>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</si>
  <si>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</si>
  <si>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</si>
  <si>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</si>
  <si>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</si>
  <si>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</si>
  <si>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</si>
  <si>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</si>
  <si>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</si>
  <si>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</si>
  <si>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</si>
  <si>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</si>
  <si>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</si>
  <si>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</si>
  <si>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</si>
  <si>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</si>
  <si>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</si>
  <si>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</si>
  <si>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</si>
  <si>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</si>
  <si>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</si>
  <si>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</si>
  <si>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</si>
  <si>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</si>
  <si>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</si>
  <si>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</si>
  <si>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</si>
  <si>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</si>
  <si>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</si>
  <si>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</si>
  <si>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</si>
  <si>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</si>
  <si>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</si>
  <si>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</si>
  <si>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</si>
  <si>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</si>
  <si>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</si>
  <si>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</si>
  <si>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</si>
  <si>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</si>
  <si>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</si>
  <si>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</si>
  <si>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</si>
  <si>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</si>
  <si>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</si>
  <si>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</si>
  <si>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</si>
  <si>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</si>
  <si>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</si>
  <si>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</si>
  <si>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</si>
  <si>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</si>
  <si>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</si>
  <si>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</si>
  <si>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</si>
  <si>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</si>
  <si>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</si>
  <si>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</si>
  <si>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</si>
  <si>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</si>
  <si>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</si>
  <si>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</si>
  <si>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</si>
  <si>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</si>
  <si>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</si>
  <si>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</si>
  <si>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</si>
  <si>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</si>
  <si>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</si>
  <si>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</si>
  <si>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</si>
  <si>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</si>
  <si>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</si>
  <si>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</si>
  <si>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</si>
  <si>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</si>
  <si>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</si>
  <si>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</si>
  <si>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</si>
  <si>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</si>
  <si>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</si>
  <si>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</si>
  <si>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</si>
  <si>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</si>
  <si>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</si>
  <si>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</si>
  <si>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</si>
  <si>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</si>
  <si>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</si>
  <si>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</si>
  <si>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</si>
  <si>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</si>
  <si>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</si>
  <si>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</si>
  <si>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</si>
  <si>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</si>
  <si>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</si>
  <si>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</si>
  <si>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</si>
  <si>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</si>
  <si>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</si>
  <si>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</si>
  <si>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</si>
  <si>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</si>
  <si>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</si>
  <si>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</si>
  <si>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</si>
  <si>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</si>
  <si>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</si>
  <si>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</si>
  <si>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</si>
  <si>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</si>
  <si>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</si>
  <si>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</si>
  <si>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</si>
  <si>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</si>
  <si>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</si>
  <si>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</si>
  <si>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</si>
  <si>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</si>
  <si>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</si>
  <si>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</si>
  <si>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</si>
  <si>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</si>
  <si>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</si>
  <si>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</si>
  <si>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</si>
  <si>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</si>
  <si>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</si>
  <si>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</si>
  <si>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</si>
  <si>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</si>
  <si>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</si>
  <si>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</si>
  <si>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</si>
  <si>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</si>
  <si>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</si>
  <si>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</si>
  <si>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</si>
  <si>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</si>
  <si>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</si>
  <si>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</si>
  <si>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</si>
  <si>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</si>
  <si>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</si>
  <si>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</si>
  <si>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</si>
  <si>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</si>
  <si>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</si>
  <si>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</si>
  <si>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</si>
  <si>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</si>
  <si>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</si>
  <si>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</si>
  <si>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</si>
  <si>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</si>
  <si>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</si>
  <si>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</si>
  <si>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</si>
  <si>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</si>
  <si>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</si>
  <si>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</si>
  <si>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</si>
  <si>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</si>
  <si>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</si>
  <si>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</si>
  <si>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</si>
  <si>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</si>
  <si>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</si>
  <si>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</si>
  <si>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</si>
  <si>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</si>
  <si>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</si>
  <si>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</si>
  <si>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</si>
  <si>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</si>
  <si>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</si>
  <si>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</si>
  <si>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</si>
  <si>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</si>
  <si>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</si>
  <si>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</si>
  <si>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</si>
  <si>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</si>
  <si>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</si>
  <si>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</si>
  <si>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</si>
  <si>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</si>
  <si>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</si>
  <si>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</si>
  <si>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</si>
  <si>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</si>
  <si>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</si>
  <si>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</si>
  <si>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</si>
  <si>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</si>
  <si>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</si>
  <si>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</si>
  <si>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</si>
  <si>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</si>
  <si>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</si>
  <si>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</si>
  <si>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</si>
  <si>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</si>
  <si>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</si>
  <si>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</si>
  <si>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</si>
  <si>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</si>
  <si>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</si>
  <si>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</si>
  <si>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</si>
  <si>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</si>
  <si>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</si>
  <si>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</si>
  <si>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</si>
  <si>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</si>
  <si>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</si>
  <si>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</si>
  <si>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</si>
  <si>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</si>
  <si>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</si>
  <si>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</si>
  <si>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</si>
  <si>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</si>
  <si>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</si>
  <si>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</si>
  <si>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</si>
  <si>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</si>
  <si>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</si>
  <si>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</si>
  <si>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</si>
  <si>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</si>
  <si>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</si>
  <si>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</si>
  <si>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</si>
  <si>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</si>
  <si>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</si>
  <si>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</si>
  <si>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</si>
  <si>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</si>
  <si>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</si>
  <si>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</si>
  <si>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</si>
  <si>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</si>
  <si>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</si>
  <si>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</si>
  <si>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</si>
  <si>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</si>
  <si>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</si>
  <si>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</si>
  <si>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</si>
  <si>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</si>
  <si>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</si>
  <si>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</si>
  <si>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</si>
  <si>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</si>
  <si>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</si>
  <si>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</si>
  <si>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</si>
  <si>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</si>
  <si>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</si>
  <si>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</si>
  <si>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</si>
  <si>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</si>
  <si>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</si>
  <si>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</si>
  <si>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</si>
  <si>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</si>
  <si>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</si>
  <si>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</si>
  <si>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</si>
  <si>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</si>
  <si>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</si>
  <si>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</si>
  <si>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</si>
  <si>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</si>
  <si>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</si>
  <si>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</si>
  <si>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</si>
  <si>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</si>
  <si>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</si>
  <si>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</si>
  <si>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</si>
  <si>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</si>
  <si>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</si>
  <si>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</si>
  <si>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</si>
  <si>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</si>
  <si>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</si>
  <si>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</si>
  <si>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</si>
  <si>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</si>
  <si>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</si>
  <si>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</si>
  <si>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</si>
  <si>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</si>
  <si>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</si>
  <si>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</si>
  <si>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</si>
  <si>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</si>
  <si>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</si>
  <si>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</si>
  <si>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</si>
  <si>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</si>
  <si>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</si>
  <si>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</si>
  <si>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</si>
  <si>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</si>
  <si>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</si>
  <si>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</si>
  <si>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</si>
  <si>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</si>
  <si>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</si>
  <si>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</si>
  <si>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</si>
  <si>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</si>
  <si>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</si>
  <si>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</si>
  <si>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</si>
  <si>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</si>
  <si>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</si>
  <si>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</si>
  <si>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</si>
  <si>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</si>
  <si>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</si>
  <si>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</si>
  <si>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</si>
  <si>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</si>
  <si>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</si>
  <si>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</si>
  <si>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</si>
  <si>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</si>
  <si>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</si>
  <si>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</si>
  <si>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</si>
  <si>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</si>
  <si>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</si>
  <si>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</si>
  <si>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</si>
  <si>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</si>
  <si>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</si>
  <si>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</si>
  <si>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</si>
  <si>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</si>
  <si>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</si>
  <si>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</si>
  <si>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</si>
  <si>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</si>
  <si>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</si>
  <si>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</si>
  <si>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</si>
  <si>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</si>
  <si>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</si>
  <si>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</si>
  <si>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</si>
  <si>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</si>
  <si>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</si>
  <si>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</si>
  <si>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</si>
  <si>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</si>
  <si>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</si>
  <si>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</si>
  <si>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</si>
  <si>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</si>
  <si>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</si>
  <si>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</si>
  <si>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</si>
  <si>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</si>
  <si>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</si>
  <si>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</si>
  <si>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</si>
  <si>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</si>
  <si>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</si>
  <si>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</si>
  <si>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</si>
  <si>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</si>
  <si>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</si>
  <si>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</si>
  <si>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</si>
  <si>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</si>
  <si>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</si>
  <si>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</si>
  <si>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</si>
  <si>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</si>
  <si>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</si>
  <si>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</si>
  <si>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</si>
  <si>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</si>
  <si>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</si>
  <si>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</si>
  <si>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</si>
  <si>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</si>
  <si>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</si>
  <si>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</si>
  <si>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</si>
  <si>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</si>
  <si>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</si>
  <si>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</si>
  <si>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</si>
  <si>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</si>
  <si>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</si>
  <si>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</si>
  <si>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</si>
  <si>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</si>
  <si>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</si>
  <si>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</si>
  <si>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</si>
  <si>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</si>
  <si>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</si>
  <si>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</si>
  <si>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</si>
  <si>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</si>
  <si>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</si>
  <si>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</si>
  <si>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</si>
  <si>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</si>
  <si>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</si>
  <si>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</si>
  <si>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</si>
  <si>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</si>
  <si>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</si>
  <si>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</si>
  <si>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</si>
  <si>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</si>
  <si>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</si>
  <si>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</si>
  <si>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</si>
  <si>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</si>
  <si>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</si>
  <si>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</si>
  <si>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</si>
  <si>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</si>
  <si>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</si>
  <si>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</si>
  <si>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</si>
  <si>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</si>
  <si>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</si>
  <si>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</si>
  <si>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</si>
  <si>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</si>
  <si>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</si>
  <si>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</si>
  <si>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</si>
  <si>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</si>
  <si>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</si>
  <si>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</si>
  <si>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</si>
  <si>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</si>
  <si>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</si>
  <si>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</si>
  <si>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</si>
  <si>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</si>
  <si>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</si>
  <si>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</si>
  <si>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</si>
  <si>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</si>
  <si>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</si>
  <si>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</si>
  <si>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</si>
  <si>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</si>
  <si>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</si>
  <si>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</si>
  <si>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</si>
  <si>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</si>
  <si>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</si>
  <si>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</si>
  <si>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</si>
  <si>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</si>
  <si>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</si>
  <si>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</si>
  <si>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</si>
  <si>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</si>
  <si>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</si>
  <si>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</si>
  <si>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</si>
  <si>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</si>
  <si>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</si>
  <si>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</si>
  <si>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</si>
  <si>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</si>
  <si>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</si>
  <si>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</si>
  <si>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</si>
  <si>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</si>
  <si>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</si>
  <si>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</si>
  <si>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</si>
  <si>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</si>
  <si>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</si>
  <si>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</si>
  <si>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</si>
  <si>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</si>
  <si>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</si>
  <si>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</si>
  <si>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</si>
  <si>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</si>
  <si>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</si>
  <si>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</si>
  <si>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</si>
  <si>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</si>
  <si>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</si>
  <si>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</si>
  <si>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</si>
  <si>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</si>
  <si>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</si>
  <si>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</si>
  <si>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</si>
  <si>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</si>
  <si>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</si>
  <si>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</si>
  <si>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</si>
  <si>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</si>
  <si>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</si>
  <si>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</si>
  <si>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</si>
  <si>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</si>
  <si>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</si>
  <si>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</si>
  <si>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</si>
  <si>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</si>
  <si>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</si>
  <si>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</si>
  <si>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</si>
  <si>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</si>
  <si>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</si>
  <si>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</si>
  <si>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</si>
  <si>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</si>
  <si>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</si>
  <si>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</si>
  <si>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</si>
  <si>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</si>
  <si>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</si>
  <si>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</si>
  <si>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</si>
  <si>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</si>
  <si>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</si>
  <si>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</si>
  <si>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</si>
  <si>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</si>
  <si>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</si>
  <si>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</si>
  <si>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</si>
  <si>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</si>
  <si>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</si>
  <si>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</si>
  <si>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</si>
  <si>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</si>
  <si>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</si>
  <si>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</si>
  <si>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</si>
  <si>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</si>
  <si>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</si>
  <si>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</si>
  <si>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</si>
  <si>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</si>
  <si>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</si>
  <si>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</si>
  <si>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</si>
  <si>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</si>
  <si>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</si>
  <si>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</si>
  <si>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</si>
  <si>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</si>
  <si>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</si>
  <si>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</si>
  <si>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</si>
  <si>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</si>
  <si>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</si>
  <si>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</si>
  <si>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</si>
  <si>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</si>
  <si>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</si>
  <si>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</si>
  <si>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</si>
  <si>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</si>
  <si>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</si>
  <si>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</si>
  <si>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</si>
  <si>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</si>
  <si>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</si>
  <si>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</si>
  <si>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</si>
  <si>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</si>
  <si>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</si>
  <si>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</si>
  <si>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</si>
  <si>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</si>
  <si>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</si>
  <si>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</si>
  <si>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</si>
  <si>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</si>
  <si>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</si>
  <si>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</si>
  <si>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</si>
  <si>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</si>
  <si>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</si>
  <si>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</si>
  <si>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</si>
  <si>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</si>
  <si>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</si>
  <si>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</si>
  <si>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</si>
  <si>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</si>
  <si>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</si>
  <si>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</si>
  <si>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</si>
  <si>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</si>
  <si>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</si>
  <si>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</si>
  <si>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</si>
  <si>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</si>
  <si>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</si>
  <si>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</si>
  <si>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</si>
  <si>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</si>
  <si>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</si>
  <si>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</si>
  <si>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</si>
  <si>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</si>
  <si>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</si>
  <si>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</si>
  <si>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</si>
  <si>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</si>
  <si>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</si>
  <si>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</si>
  <si>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</si>
  <si>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</si>
  <si>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</si>
  <si>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</si>
  <si>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</si>
  <si>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</si>
  <si>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</si>
  <si>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</si>
  <si>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</si>
  <si>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</si>
  <si>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</si>
  <si>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</si>
  <si>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</si>
  <si>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</si>
  <si>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</si>
  <si>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</si>
  <si>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</si>
  <si>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</si>
  <si>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</si>
  <si>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</si>
  <si>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</si>
  <si>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</si>
  <si>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</si>
  <si>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</si>
  <si>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</si>
  <si>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</si>
  <si>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</si>
  <si>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</si>
  <si>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</si>
  <si>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</si>
  <si>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</si>
  <si>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</si>
  <si>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</si>
  <si>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</si>
  <si>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</si>
  <si>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</si>
  <si>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</si>
  <si>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</si>
  <si>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</si>
  <si>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</si>
  <si>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</si>
  <si>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</si>
  <si>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</si>
  <si>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</si>
  <si>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</si>
  <si>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</si>
  <si>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</si>
  <si>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</si>
  <si>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</si>
  <si>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</si>
  <si>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</si>
  <si>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</si>
  <si>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</si>
  <si>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</si>
  <si>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</si>
  <si>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</si>
  <si>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</si>
  <si>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</si>
  <si>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</si>
  <si>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</si>
  <si>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</si>
  <si>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</si>
  <si>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</si>
  <si>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</si>
  <si>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</si>
  <si>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</si>
  <si>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</si>
  <si>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</si>
  <si>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</si>
  <si>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</si>
  <si>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</si>
  <si>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</si>
  <si>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</si>
  <si>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</si>
  <si>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</si>
  <si>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</si>
  <si>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</si>
  <si>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</si>
  <si>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</si>
  <si>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</si>
  <si>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</si>
  <si>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</si>
  <si>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</si>
  <si>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</si>
  <si>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</si>
  <si>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</si>
  <si>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</si>
  <si>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</si>
  <si>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</si>
  <si>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</si>
  <si>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</si>
  <si>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</si>
  <si>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</si>
  <si>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</si>
  <si>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</si>
  <si>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</si>
  <si>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</si>
  <si>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</si>
  <si>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</si>
  <si>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</si>
  <si>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</si>
  <si>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</si>
  <si>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</si>
  <si>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</si>
  <si>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</si>
  <si>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</si>
  <si>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</si>
  <si>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</si>
  <si>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</si>
  <si>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</si>
  <si>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</si>
  <si>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</si>
  <si>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</si>
  <si>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</si>
  <si>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</si>
  <si>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</si>
  <si>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</si>
  <si>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</si>
  <si>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</si>
  <si>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</si>
  <si>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</si>
  <si>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</si>
  <si>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</si>
  <si>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</si>
  <si>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</si>
  <si>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</si>
  <si>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</si>
  <si>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</si>
  <si>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</si>
  <si>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</si>
  <si>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</si>
  <si>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</si>
  <si>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</si>
  <si>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</si>
  <si>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</si>
  <si>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</si>
  <si>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</si>
  <si>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</si>
  <si>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</si>
  <si>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</si>
  <si>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</si>
  <si>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</si>
  <si>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</si>
  <si>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</si>
  <si>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</si>
  <si>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</si>
  <si>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</si>
  <si>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</si>
  <si>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</si>
  <si>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</si>
  <si>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</si>
  <si>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</si>
  <si>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</si>
  <si>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</si>
  <si>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</si>
  <si>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</si>
  <si>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</si>
  <si>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</si>
  <si>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</si>
  <si>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</si>
  <si>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</si>
  <si>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</si>
  <si>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</si>
  <si>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</si>
  <si>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</si>
  <si>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</si>
  <si>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</si>
  <si>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</si>
  <si>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</si>
  <si>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</si>
  <si>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</si>
  <si>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</si>
  <si>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</si>
  <si>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</si>
  <si>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</si>
  <si>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</si>
  <si>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</si>
  <si>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</si>
  <si>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</si>
  <si>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</si>
  <si>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</si>
  <si>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</si>
  <si>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</si>
  <si>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</si>
  <si>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</si>
  <si>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</si>
  <si>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</si>
  <si>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</si>
  <si>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</si>
  <si>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</si>
  <si>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</si>
  <si>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</si>
  <si>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</si>
  <si>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</si>
  <si>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</si>
  <si>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</si>
  <si>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</si>
  <si>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</si>
  <si>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</si>
  <si>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</si>
  <si>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</si>
  <si>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</si>
  <si>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</si>
  <si>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</si>
  <si>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</si>
  <si>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</si>
  <si>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</si>
  <si>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</si>
  <si>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</si>
  <si>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</si>
  <si>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</si>
  <si>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</si>
  <si>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</si>
  <si>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</si>
  <si>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</si>
  <si>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</si>
  <si>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</si>
  <si>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</si>
  <si>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</si>
  <si>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</si>
  <si>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</si>
  <si>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</si>
  <si>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</si>
  <si>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</si>
  <si>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</si>
  <si>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</si>
  <si>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</si>
  <si>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</si>
  <si>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</si>
  <si>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</si>
  <si>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</si>
  <si>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</si>
  <si>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</si>
  <si>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</si>
  <si>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</si>
  <si>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</si>
  <si>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</si>
  <si>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</si>
  <si>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</si>
  <si>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</si>
  <si>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</si>
  <si>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</si>
  <si>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</si>
  <si>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</si>
  <si>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</si>
  <si>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</si>
  <si>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</si>
  <si>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</si>
  <si>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</si>
  <si>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</si>
  <si>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</si>
  <si>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</si>
  <si>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</si>
  <si>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</si>
  <si>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</si>
  <si>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</si>
  <si>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</si>
  <si>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</si>
  <si>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</si>
  <si>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</si>
  <si>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</si>
  <si>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</si>
  <si>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</si>
  <si>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</si>
  <si>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</si>
  <si>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</si>
  <si>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</si>
  <si>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</si>
  <si>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</si>
  <si>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</si>
  <si>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</si>
  <si>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</si>
  <si>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</si>
  <si>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</si>
  <si>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</si>
  <si>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</si>
  <si>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</si>
  <si>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</si>
  <si>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</si>
  <si>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</si>
  <si>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</si>
  <si>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</si>
  <si>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</si>
  <si>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</si>
  <si>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</si>
  <si>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</si>
  <si>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</si>
  <si>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</si>
  <si>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</si>
  <si>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</si>
  <si>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</si>
  <si>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</si>
  <si>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</si>
  <si>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</si>
  <si>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</si>
  <si>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</si>
  <si>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</si>
  <si>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</si>
  <si>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</si>
  <si>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</si>
  <si>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</si>
  <si>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</si>
  <si>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</si>
  <si>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</si>
  <si>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</si>
  <si>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</si>
  <si>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</si>
  <si>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</si>
  <si>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</si>
  <si>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</si>
  <si>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</si>
  <si>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</si>
  <si>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</si>
  <si>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</si>
  <si>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</si>
  <si>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</si>
  <si>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</si>
  <si>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</si>
  <si>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</si>
  <si>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</si>
  <si>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</si>
  <si>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</si>
  <si>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</si>
  <si>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</si>
  <si>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</si>
  <si>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</si>
  <si>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</si>
  <si>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</si>
  <si>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</si>
  <si>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</si>
  <si>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</si>
  <si>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</si>
  <si>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</si>
  <si>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</si>
  <si>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</si>
  <si>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</si>
  <si>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</si>
  <si>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</si>
  <si>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</si>
  <si>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</si>
  <si>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</si>
  <si>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</si>
  <si>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</si>
  <si>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</si>
  <si>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</si>
  <si>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</si>
  <si>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</si>
  <si>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</si>
  <si>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</si>
  <si>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</si>
  <si>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</si>
  <si>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</si>
  <si>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</si>
  <si>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</si>
  <si>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</si>
  <si>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</si>
  <si>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</si>
  <si>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</si>
  <si>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</si>
  <si>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</si>
  <si>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</si>
  <si>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</si>
  <si>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</si>
  <si>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</si>
  <si>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</si>
  <si>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</si>
  <si>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</si>
  <si>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</si>
  <si>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</si>
  <si>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</si>
  <si>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</si>
  <si>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</si>
  <si>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</si>
  <si>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</si>
  <si>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</si>
  <si>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</si>
  <si>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</si>
  <si>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</si>
  <si>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</si>
  <si>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</si>
  <si>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</si>
  <si>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</si>
  <si>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</si>
  <si>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</si>
  <si>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</si>
  <si>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</si>
  <si>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</si>
  <si>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</si>
  <si>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</si>
  <si>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</si>
  <si>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</si>
  <si>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</si>
  <si>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</si>
  <si>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</si>
  <si>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</si>
  <si>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</si>
  <si>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</si>
  <si>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</si>
  <si>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</si>
  <si>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</si>
  <si>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</si>
  <si>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</si>
  <si>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</si>
  <si>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</si>
  <si>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</si>
  <si>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</si>
  <si>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</si>
  <si>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</si>
  <si>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</si>
  <si>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</si>
  <si>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</si>
  <si>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</si>
  <si>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</si>
  <si>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</si>
  <si>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</si>
  <si>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</si>
  <si>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</si>
  <si>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</si>
  <si>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</si>
  <si>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</si>
  <si>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</si>
  <si>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</si>
  <si>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</si>
  <si>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</si>
  <si>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</si>
  <si>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</si>
  <si>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</si>
  <si>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</si>
  <si>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</si>
  <si>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</si>
  <si>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</si>
  <si>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</si>
  <si>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</si>
  <si>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</si>
  <si>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</si>
  <si>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</si>
  <si>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</si>
  <si>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</si>
  <si>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</si>
  <si>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</si>
  <si>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</si>
  <si>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</si>
  <si>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</si>
  <si>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</si>
  <si>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</si>
  <si>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</si>
  <si>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</si>
  <si>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</si>
  <si>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</si>
  <si>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</si>
  <si>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</si>
  <si>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</si>
  <si>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</si>
  <si>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</si>
  <si>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</si>
  <si>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</si>
  <si>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</si>
  <si>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</si>
  <si>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</si>
  <si>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</si>
  <si>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</si>
  <si>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</si>
  <si>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</si>
  <si>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</si>
  <si>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</si>
  <si>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</si>
  <si>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</si>
  <si>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</si>
  <si>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</si>
  <si>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</si>
  <si>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</si>
  <si>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</si>
  <si>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</si>
  <si>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</si>
  <si>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</si>
  <si>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</si>
  <si>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</si>
  <si>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</si>
  <si>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</si>
  <si>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</si>
  <si>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</si>
  <si>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</si>
  <si>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</si>
  <si>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</si>
  <si>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</si>
  <si>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</si>
  <si>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</si>
  <si>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</si>
  <si>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</si>
  <si>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</si>
  <si>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</si>
  <si>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</si>
  <si>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</si>
  <si>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</si>
  <si>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</si>
  <si>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</si>
  <si>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</si>
  <si>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</si>
  <si>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</si>
  <si>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</si>
  <si>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</si>
  <si>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</si>
  <si>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</si>
  <si>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</si>
  <si>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</si>
  <si>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</si>
  <si>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</si>
  <si>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</si>
  <si>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</si>
  <si>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</si>
  <si>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</si>
  <si>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</si>
  <si>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</si>
  <si>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</si>
  <si>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</si>
  <si>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</si>
  <si>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</si>
  <si>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</si>
  <si>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</si>
  <si>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</si>
  <si>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</si>
  <si>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</si>
  <si>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</si>
  <si>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</si>
  <si>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</si>
  <si>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</si>
  <si>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</si>
  <si>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</si>
  <si>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</si>
  <si>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</si>
  <si>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</si>
  <si>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</si>
  <si>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</si>
  <si>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</si>
  <si>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</si>
  <si>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</si>
  <si>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</si>
  <si>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</si>
  <si>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</si>
  <si>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</si>
  <si>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</si>
  <si>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</si>
  <si>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</si>
  <si>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</si>
  <si>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</si>
  <si>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</si>
  <si>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</si>
  <si>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</si>
  <si>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</si>
  <si>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</si>
  <si>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</si>
  <si>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</si>
  <si>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</si>
  <si>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</si>
  <si>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</si>
  <si>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</si>
  <si>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</si>
  <si>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</si>
  <si>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</si>
  <si>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</si>
  <si>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</si>
  <si>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</si>
  <si>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</si>
  <si>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</si>
  <si>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</si>
  <si>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</si>
  <si>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</si>
  <si>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</si>
  <si>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</si>
  <si>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</si>
  <si>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</si>
  <si>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</si>
  <si>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</si>
  <si>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</si>
  <si>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</si>
  <si>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</si>
  <si>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</si>
  <si>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</si>
  <si>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</si>
  <si>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</si>
  <si>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</si>
  <si>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</si>
  <si>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</si>
  <si>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</si>
  <si>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</si>
  <si>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</si>
  <si>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</si>
  <si>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</si>
  <si>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</si>
  <si>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</si>
  <si>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</si>
  <si>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</si>
  <si>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</si>
  <si>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</si>
  <si>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</si>
  <si>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</si>
  <si>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</si>
  <si>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</si>
  <si>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</si>
  <si>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</si>
  <si>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</si>
  <si>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</si>
  <si>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</si>
  <si>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</si>
  <si>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</si>
  <si>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</si>
  <si>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</si>
  <si>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</si>
  <si>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</si>
  <si>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</si>
  <si>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</si>
  <si>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</si>
  <si>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</si>
  <si>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</si>
  <si>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</si>
  <si>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</si>
  <si>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</si>
  <si>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</si>
  <si>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</si>
  <si>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</si>
  <si>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</si>
  <si>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</si>
  <si>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</si>
  <si>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</si>
  <si>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</si>
  <si>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</si>
  <si>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</si>
  <si>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</si>
  <si>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</si>
  <si>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</si>
  <si>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</si>
  <si>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</si>
  <si>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</si>
  <si>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</si>
  <si>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</si>
  <si>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</si>
  <si>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</si>
  <si>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</si>
  <si>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</si>
  <si>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</si>
  <si>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</si>
  <si>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</si>
  <si>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</si>
  <si>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</si>
  <si>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</si>
  <si>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</si>
  <si>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</si>
  <si>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</si>
  <si>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</si>
  <si>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</si>
  <si>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</si>
  <si>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</si>
  <si>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</si>
  <si>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</si>
  <si>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</si>
  <si>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</si>
  <si>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</si>
  <si>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</si>
  <si>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</si>
  <si>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</si>
  <si>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</si>
  <si>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</si>
  <si>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</si>
  <si>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</si>
  <si>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</si>
  <si>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</si>
  <si>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</si>
  <si>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</si>
  <si>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</si>
  <si>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</si>
  <si>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</si>
  <si>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</si>
  <si>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</si>
  <si>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</si>
  <si>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</si>
  <si>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</si>
  <si>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</si>
  <si>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</si>
  <si>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</si>
  <si>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</si>
  <si>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</si>
  <si>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</si>
  <si>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</si>
  <si>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</si>
  <si>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</si>
  <si>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</si>
  <si>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</si>
  <si>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</si>
  <si>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</si>
  <si>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</si>
  <si>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</si>
  <si>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</si>
  <si>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</si>
  <si>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</si>
  <si>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</si>
  <si>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</si>
  <si>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</si>
  <si>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</si>
  <si>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</si>
  <si>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</si>
  <si>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</si>
  <si>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</si>
  <si>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</si>
  <si>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</si>
  <si>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</si>
  <si>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</si>
  <si>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</si>
  <si>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</si>
  <si>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</si>
  <si>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</si>
  <si>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</si>
  <si>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</si>
  <si>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</si>
  <si>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</si>
  <si>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</si>
  <si>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</si>
  <si>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</si>
  <si>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</si>
  <si>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</si>
  <si>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</si>
  <si>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</si>
  <si>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</si>
  <si>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</si>
  <si>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</si>
  <si>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</si>
  <si>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</si>
  <si>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</si>
  <si>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</si>
  <si>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</si>
  <si>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</si>
  <si>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</si>
  <si>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</si>
  <si>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</si>
  <si>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</si>
  <si>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</si>
  <si>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</si>
  <si>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</si>
  <si>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</si>
  <si>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</si>
  <si>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</si>
  <si>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</si>
  <si>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</si>
  <si>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</si>
  <si>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</si>
  <si>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</si>
  <si>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</si>
  <si>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</si>
  <si>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</si>
  <si>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</si>
  <si>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</si>
  <si>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</si>
  <si>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</si>
  <si>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</si>
  <si>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</si>
  <si>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</si>
  <si>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</si>
  <si>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</si>
  <si>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</si>
  <si>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</si>
  <si>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</si>
  <si>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</si>
  <si>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</si>
  <si>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</si>
  <si>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</si>
  <si>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</si>
  <si>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</si>
  <si>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</si>
  <si>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</si>
  <si>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</si>
  <si>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</si>
  <si>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</si>
  <si>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</si>
  <si>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</si>
  <si>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</si>
  <si>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</si>
  <si>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</si>
  <si>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</si>
  <si>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</si>
  <si>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</si>
  <si>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</si>
  <si>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</si>
  <si>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</si>
  <si>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</si>
  <si>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</si>
  <si>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</si>
  <si>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</si>
  <si>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</si>
  <si>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</si>
  <si>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</si>
  <si>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</si>
  <si>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</si>
  <si>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</si>
  <si>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</si>
  <si>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</si>
  <si>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</si>
  <si>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</si>
  <si>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</si>
  <si>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</si>
  <si>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</si>
  <si>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</si>
  <si>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</si>
  <si>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</si>
  <si>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</si>
  <si>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</si>
  <si>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</si>
  <si>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</si>
  <si>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</si>
  <si>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</si>
  <si>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</si>
  <si>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</si>
  <si>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</si>
  <si>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</si>
  <si>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</si>
  <si>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</si>
  <si>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</si>
  <si>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</si>
  <si>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</si>
  <si>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</si>
  <si>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</si>
  <si>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</si>
  <si>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</si>
  <si>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</si>
  <si>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</si>
  <si>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</si>
  <si>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</si>
  <si>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</si>
  <si>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</si>
  <si>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</si>
  <si>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</si>
  <si>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</si>
  <si>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</si>
  <si>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</si>
  <si>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</si>
  <si>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</si>
  <si>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</si>
  <si>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</si>
  <si>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</si>
  <si>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</si>
  <si>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</si>
  <si>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</si>
  <si>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</si>
  <si>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</si>
  <si>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</si>
  <si>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</si>
  <si>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</si>
  <si>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</si>
  <si>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</si>
  <si>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</si>
  <si>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</si>
  <si>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</si>
  <si>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</si>
  <si>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</si>
  <si>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</si>
  <si>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</si>
  <si>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</si>
  <si>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</si>
  <si>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</si>
  <si>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</si>
  <si>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</si>
  <si>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</si>
  <si>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</si>
  <si>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</si>
  <si>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</si>
  <si>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</si>
  <si>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</si>
  <si>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</si>
  <si>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</si>
  <si>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</si>
  <si>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</si>
  <si>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</si>
  <si>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</si>
  <si>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</si>
  <si>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</si>
  <si>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</si>
  <si>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</si>
  <si>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</si>
  <si>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</si>
  <si>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</si>
  <si>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</si>
  <si>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</si>
  <si>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</si>
  <si>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</si>
  <si>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</si>
  <si>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</si>
  <si>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</si>
  <si>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</si>
  <si>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</si>
  <si>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</si>
  <si>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</si>
  <si>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</si>
  <si>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</si>
  <si>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</si>
  <si>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</si>
  <si>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</si>
  <si>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</si>
  <si>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</si>
  <si>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</si>
  <si>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</si>
  <si>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</si>
  <si>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</si>
  <si>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</si>
  <si>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</si>
  <si>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</si>
  <si>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</si>
  <si>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</si>
  <si>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</si>
  <si>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</si>
  <si>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</si>
  <si>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</si>
  <si>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</si>
  <si>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</si>
  <si>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</si>
  <si>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</si>
  <si>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</si>
  <si>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</si>
  <si>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</si>
  <si>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</si>
  <si>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</si>
  <si>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</si>
  <si>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</si>
  <si>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</si>
  <si>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</si>
  <si>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</si>
  <si>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</si>
  <si>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</si>
  <si>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</si>
  <si>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</si>
  <si>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</si>
  <si>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</si>
  <si>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</si>
  <si>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</si>
  <si>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</si>
  <si>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</si>
  <si>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</si>
  <si>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</si>
  <si>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</si>
  <si>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</si>
  <si>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</si>
  <si>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</si>
  <si>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</si>
  <si>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</si>
  <si>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</si>
  <si>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</si>
  <si>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</si>
  <si>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</si>
  <si>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</si>
  <si>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</si>
  <si>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</si>
  <si>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</si>
  <si>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</si>
  <si>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</si>
  <si>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</si>
  <si>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</si>
  <si>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</si>
  <si>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</si>
  <si>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</si>
  <si>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</si>
  <si>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</si>
  <si>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</si>
  <si>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</si>
  <si>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</si>
  <si>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</si>
  <si>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</si>
  <si>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</si>
  <si>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</si>
  <si>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</si>
  <si>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</si>
  <si>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</si>
  <si>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</si>
  <si>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</si>
  <si>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</si>
  <si>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</si>
  <si>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</si>
  <si>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</si>
  <si>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</si>
  <si>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</si>
  <si>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</si>
  <si>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</si>
  <si>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</si>
  <si>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</si>
  <si>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</si>
  <si>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</si>
  <si>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</si>
  <si>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</si>
  <si>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</si>
  <si>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</si>
  <si>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</si>
  <si>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</si>
  <si>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</si>
  <si>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</si>
  <si>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</si>
  <si>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</si>
  <si>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</si>
  <si>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</si>
  <si>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</si>
  <si>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</si>
  <si>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</si>
  <si>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</si>
  <si>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</si>
  <si>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</si>
  <si>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</si>
  <si>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</si>
  <si>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</si>
  <si>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</si>
  <si>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</si>
  <si>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</si>
  <si>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</si>
  <si>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</si>
  <si>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</si>
  <si>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</si>
  <si>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</si>
  <si>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</si>
  <si>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</si>
  <si>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</si>
  <si>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</si>
  <si>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</si>
  <si>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</si>
  <si>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</si>
  <si>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</si>
  <si>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</si>
  <si>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</si>
  <si>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</si>
  <si>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</si>
  <si>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</si>
  <si>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</si>
  <si>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</si>
  <si>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</si>
  <si>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</si>
  <si>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</si>
  <si>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</si>
  <si>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</si>
  <si>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</si>
  <si>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</si>
  <si>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</si>
  <si>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</si>
  <si>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</si>
  <si>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</si>
  <si>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</si>
  <si>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</si>
  <si>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</si>
  <si>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</si>
  <si>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</si>
  <si>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</si>
  <si>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</si>
  <si>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</si>
  <si>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</si>
  <si>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</si>
  <si>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</si>
  <si>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</si>
  <si>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</si>
  <si>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</si>
  <si>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</si>
  <si>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</si>
  <si>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</si>
  <si>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</si>
  <si>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</si>
  <si>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</si>
  <si>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</si>
  <si>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</si>
  <si>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</si>
  <si>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</si>
  <si>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</si>
  <si>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</si>
  <si>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</si>
  <si>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</si>
  <si>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</si>
  <si>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</si>
  <si>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</si>
  <si>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</si>
  <si>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</si>
  <si>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</si>
  <si>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</si>
  <si>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</si>
  <si>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</si>
  <si>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</si>
  <si>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</si>
  <si>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</si>
  <si>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</si>
  <si>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</si>
  <si>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</si>
  <si>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</si>
  <si>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</si>
  <si>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</si>
  <si>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</si>
  <si>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</si>
  <si>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</si>
  <si>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</si>
  <si>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</si>
  <si>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</si>
  <si>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</si>
  <si>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</si>
  <si>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</si>
  <si>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</si>
  <si>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</si>
  <si>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</si>
  <si>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</si>
  <si>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</si>
  <si>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</si>
  <si>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</si>
  <si>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</si>
  <si>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</si>
  <si>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</si>
  <si>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</si>
  <si>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</si>
  <si>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</si>
  <si>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</si>
  <si>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</si>
  <si>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</si>
  <si>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</si>
  <si>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</si>
  <si>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</si>
  <si>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</si>
  <si>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</si>
  <si>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</si>
  <si>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</si>
  <si>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</si>
  <si>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</si>
  <si>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</si>
  <si>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</si>
  <si>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</si>
  <si>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</si>
  <si>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</si>
  <si>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</si>
  <si>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</si>
  <si>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</si>
  <si>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</si>
  <si>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</si>
  <si>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</si>
  <si>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</si>
  <si>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</si>
  <si>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</si>
  <si>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</si>
  <si>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</si>
  <si>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</si>
  <si>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</si>
  <si>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</si>
  <si>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</si>
  <si>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</si>
  <si>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</si>
  <si>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</si>
  <si>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</si>
  <si>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</si>
  <si>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</si>
  <si>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</si>
  <si>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</si>
  <si>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</si>
  <si>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</si>
  <si>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</si>
  <si>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</si>
  <si>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</si>
  <si>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</si>
  <si>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</si>
  <si>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</si>
  <si>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</si>
  <si>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</si>
  <si>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</si>
  <si>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</si>
  <si>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</si>
  <si>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</si>
  <si>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</si>
  <si>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</si>
  <si>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</si>
  <si>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</si>
  <si>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</si>
  <si>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</si>
  <si>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</si>
  <si>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</si>
  <si>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</si>
  <si>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</si>
  <si>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</si>
  <si>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</si>
  <si>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</si>
  <si>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</si>
  <si>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</si>
  <si>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</si>
  <si>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</si>
  <si>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</si>
  <si>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</si>
  <si>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</si>
  <si>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</si>
  <si>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</si>
  <si>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</si>
  <si>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</si>
  <si>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</si>
  <si>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</si>
  <si>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</si>
  <si>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</si>
  <si>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</si>
  <si>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</si>
  <si>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</si>
  <si>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</si>
  <si>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</si>
  <si>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</si>
  <si>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</si>
  <si>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</si>
  <si>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</si>
  <si>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</si>
  <si>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</si>
  <si>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</si>
  <si>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</si>
  <si>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</si>
  <si>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</si>
  <si>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</si>
  <si>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</si>
  <si>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</si>
  <si>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</si>
  <si>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</si>
  <si>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</si>
  <si>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</si>
  <si>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</si>
  <si>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</si>
  <si>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</si>
  <si>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</si>
  <si>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</si>
  <si>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</si>
  <si>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</si>
  <si>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</si>
  <si>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</si>
  <si>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</si>
  <si>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</si>
  <si>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</si>
  <si>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</si>
  <si>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</si>
  <si>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</si>
  <si>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</si>
  <si>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</si>
  <si>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</si>
  <si>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</si>
  <si>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</si>
  <si>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</si>
  <si>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</si>
  <si>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</si>
  <si>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</si>
  <si>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</si>
  <si>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</si>
  <si>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</si>
  <si>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</si>
  <si>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</si>
  <si>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</si>
  <si>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</si>
  <si>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</si>
  <si>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</si>
  <si>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</si>
  <si>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</si>
  <si>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</si>
  <si>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</si>
  <si>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</si>
  <si>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</si>
  <si>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</si>
  <si>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</si>
  <si>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</si>
  <si>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</si>
  <si>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</si>
  <si>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</si>
  <si>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</si>
  <si>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</si>
  <si>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</si>
  <si>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</si>
  <si>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</si>
  <si>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</si>
  <si>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</si>
  <si>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</si>
  <si>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</si>
  <si>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</si>
  <si>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</si>
  <si>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</si>
  <si>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</si>
  <si>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</si>
  <si>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</si>
  <si>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</si>
  <si>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</si>
  <si>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</si>
  <si>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</si>
  <si>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</si>
  <si>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</si>
  <si>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</si>
  <si>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</si>
  <si>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</si>
  <si>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</si>
  <si>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</si>
  <si>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</si>
  <si>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</si>
  <si>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</si>
  <si>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</si>
  <si>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</si>
  <si>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</si>
  <si>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</si>
  <si>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</si>
  <si>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</si>
  <si>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</si>
  <si>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</si>
  <si>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</si>
  <si>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</si>
  <si>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</si>
  <si>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</si>
  <si>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</si>
  <si>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</si>
  <si>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</si>
  <si>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</si>
  <si>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</si>
  <si>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</si>
  <si>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</si>
  <si>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</si>
  <si>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</si>
  <si>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</si>
  <si>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</si>
  <si>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</si>
  <si>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</si>
  <si>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</si>
  <si>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</si>
  <si>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</si>
  <si>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</si>
  <si>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</si>
  <si>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</si>
  <si>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</si>
  <si>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</si>
  <si>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</si>
  <si>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</si>
  <si>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</si>
  <si>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</si>
  <si>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</si>
  <si>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</si>
  <si>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</si>
  <si>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</si>
  <si>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</si>
  <si>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</si>
  <si>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</si>
  <si>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</si>
  <si>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</si>
  <si>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</si>
  <si>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</si>
  <si>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</si>
  <si>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</si>
  <si>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</si>
  <si>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</si>
  <si>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</si>
  <si>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</si>
  <si>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</si>
  <si>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</si>
  <si>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</si>
  <si>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</si>
  <si>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</si>
  <si>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</si>
  <si>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</si>
  <si>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</si>
  <si>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</si>
  <si>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</si>
  <si>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</si>
  <si>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</si>
  <si>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</si>
  <si>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</si>
  <si>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</si>
  <si>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</si>
  <si>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</si>
  <si>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</si>
  <si>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</si>
  <si>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</si>
  <si>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</si>
  <si>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</si>
  <si>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</si>
  <si>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</si>
  <si>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</si>
  <si>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</si>
  <si>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</si>
  <si>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</si>
  <si>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</si>
  <si>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</si>
  <si>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</si>
  <si>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</si>
  <si>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</si>
  <si>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</si>
  <si>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</si>
  <si>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</si>
  <si>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</si>
  <si>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</si>
  <si>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</si>
  <si>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</si>
  <si>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</si>
  <si>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</si>
  <si>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</si>
  <si>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</si>
  <si>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</si>
  <si>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</si>
  <si>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</si>
  <si>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</si>
  <si>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</si>
  <si>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</si>
  <si>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</si>
  <si>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</si>
  <si>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</si>
  <si>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</si>
  <si>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</si>
  <si>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</si>
  <si>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</si>
  <si>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</si>
  <si>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</si>
  <si>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</si>
  <si>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</si>
  <si>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</si>
  <si>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</si>
  <si>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</si>
  <si>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</si>
  <si>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</si>
  <si>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</si>
  <si>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</si>
  <si>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</si>
  <si>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</si>
  <si>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</si>
  <si>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</si>
  <si>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</si>
  <si>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</si>
  <si>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</si>
  <si>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</si>
  <si>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</si>
  <si>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</si>
  <si>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</si>
  <si>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</si>
  <si>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</si>
  <si>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</si>
  <si>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</si>
  <si>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</si>
  <si>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</si>
  <si>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</si>
  <si>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</si>
  <si>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</si>
  <si>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</si>
  <si>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</si>
  <si>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</si>
  <si>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</si>
  <si>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</si>
  <si>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</si>
  <si>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</si>
  <si>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</si>
  <si>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</si>
  <si>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</si>
  <si>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</si>
  <si>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</si>
  <si>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</si>
  <si>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</si>
  <si>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</si>
  <si>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</si>
  <si>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</si>
  <si>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</si>
  <si>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</si>
  <si>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</si>
  <si>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</si>
  <si>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</si>
  <si>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</si>
  <si>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</si>
  <si>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</si>
  <si>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</si>
  <si>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</si>
  <si>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</si>
  <si>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</si>
  <si>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</si>
  <si>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</si>
  <si>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</si>
  <si>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</si>
  <si>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</si>
  <si>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</si>
  <si>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</si>
  <si>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</si>
  <si>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</si>
  <si>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</si>
  <si>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</si>
  <si>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</si>
  <si>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</si>
  <si>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</si>
  <si>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</si>
  <si>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</si>
  <si>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</si>
  <si>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</si>
  <si>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</si>
  <si>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</si>
  <si>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</si>
  <si>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</si>
  <si>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</si>
  <si>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</si>
  <si>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</si>
  <si>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</si>
  <si>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</si>
  <si>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</si>
  <si>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</si>
  <si>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</si>
  <si>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</si>
  <si>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</si>
  <si>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</si>
  <si>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</si>
  <si>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</si>
  <si>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</si>
  <si>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</si>
  <si>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</si>
  <si>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</si>
  <si>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</si>
  <si>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</si>
  <si>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</si>
  <si>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</si>
  <si>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</si>
  <si>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</si>
  <si>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</si>
  <si>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</si>
  <si>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</si>
  <si>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</si>
  <si>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</si>
  <si>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</si>
  <si>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</si>
  <si>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</si>
  <si>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</si>
  <si>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</si>
  <si>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</si>
  <si>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</si>
  <si>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</si>
  <si>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</si>
  <si>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</si>
  <si>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</si>
  <si>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</si>
  <si>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</si>
  <si>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</si>
  <si>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</si>
  <si>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</si>
  <si>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</si>
  <si>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</si>
  <si>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</si>
  <si>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</si>
  <si>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</si>
  <si>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</si>
  <si>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</si>
  <si>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</si>
  <si>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</si>
  <si>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</si>
  <si>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</si>
  <si>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</si>
  <si>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</si>
  <si>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</si>
  <si>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</si>
  <si>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</si>
  <si>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</si>
  <si>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</si>
  <si>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</si>
  <si>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</si>
  <si>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</si>
  <si>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</si>
  <si>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</si>
  <si>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</si>
  <si>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</si>
  <si>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</si>
  <si>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</si>
  <si>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</si>
  <si>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</si>
  <si>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</si>
  <si>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</si>
  <si>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</si>
  <si>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</si>
  <si>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</si>
  <si>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</si>
  <si>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</si>
  <si>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</si>
  <si>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</si>
  <si>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</si>
  <si>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</si>
  <si>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</si>
  <si>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</si>
  <si>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</si>
  <si>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</si>
  <si>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</si>
  <si>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</si>
  <si>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</si>
  <si>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</si>
  <si>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</si>
  <si>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</si>
  <si>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</si>
  <si>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</si>
  <si>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</si>
  <si>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</si>
  <si>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</si>
  <si>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</si>
  <si>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</si>
  <si>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</si>
  <si>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</si>
  <si>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</si>
  <si>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</si>
  <si>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</si>
  <si>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</si>
  <si>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</si>
  <si>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</si>
  <si>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</si>
  <si>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</si>
  <si>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</si>
  <si>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</si>
  <si>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</si>
  <si>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</si>
  <si>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</si>
  <si>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</si>
  <si>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</si>
  <si>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</si>
  <si>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</si>
  <si>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</si>
  <si>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</si>
  <si>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</si>
  <si>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</si>
  <si>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</si>
  <si>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</si>
  <si>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</si>
  <si>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</si>
  <si>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</si>
  <si>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</si>
  <si>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</si>
  <si>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</si>
  <si>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</si>
  <si>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</si>
  <si>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</si>
  <si>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</si>
  <si>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</si>
  <si>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</si>
  <si>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</si>
  <si>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</si>
  <si>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</si>
  <si>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</si>
  <si>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</si>
  <si>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</si>
  <si>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</si>
  <si>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</si>
  <si>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</si>
  <si>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</si>
  <si>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</si>
  <si>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</si>
  <si>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</si>
  <si>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</si>
  <si>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</si>
  <si>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</si>
  <si>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</si>
  <si>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</si>
  <si>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</si>
  <si>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</si>
  <si>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</si>
  <si>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</si>
  <si>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</si>
  <si>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</si>
  <si>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</si>
  <si>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</si>
  <si>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</si>
  <si>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</si>
  <si>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</si>
  <si>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</si>
  <si>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</si>
  <si>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</si>
  <si>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</si>
  <si>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</si>
  <si>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</si>
  <si>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</si>
  <si>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</si>
  <si>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</si>
  <si>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</si>
  <si>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</si>
  <si>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</si>
  <si>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</si>
  <si>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</si>
  <si>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</si>
  <si>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</si>
  <si>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</si>
  <si>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</si>
  <si>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</si>
  <si>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</si>
  <si>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</si>
  <si>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</si>
  <si>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</si>
  <si>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</si>
  <si>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</si>
  <si>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</si>
  <si>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</si>
  <si>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</si>
  <si>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</si>
  <si>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</si>
  <si>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</si>
  <si>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</si>
  <si>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</si>
  <si>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</si>
  <si>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</si>
  <si>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</si>
  <si>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</si>
  <si>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</si>
  <si>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</si>
  <si>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</si>
  <si>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</si>
  <si>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</si>
  <si>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</si>
  <si>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</si>
  <si>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</si>
  <si>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</si>
  <si>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</si>
  <si>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</si>
  <si>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</si>
  <si>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</si>
  <si>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</si>
  <si>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</si>
  <si>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</si>
  <si>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</si>
  <si>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</si>
  <si>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</si>
  <si>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</si>
  <si>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</si>
  <si>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</si>
  <si>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</si>
  <si>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</si>
  <si>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</si>
  <si>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</si>
  <si>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</si>
  <si>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</si>
  <si>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</si>
  <si>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</si>
  <si>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</si>
  <si>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</si>
  <si>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</si>
  <si>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</si>
  <si>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</si>
  <si>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</si>
  <si>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</si>
  <si>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</si>
  <si>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</si>
  <si>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</si>
  <si>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</si>
  <si>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</si>
  <si>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</si>
  <si>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</si>
  <si>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</si>
  <si>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</si>
  <si>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</si>
  <si>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</si>
  <si>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</si>
  <si>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</si>
  <si>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</si>
  <si>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</si>
  <si>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</si>
  <si>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</si>
  <si>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</si>
  <si>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</si>
  <si>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</si>
  <si>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</si>
  <si>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</si>
  <si>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</si>
  <si>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</si>
  <si>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</si>
  <si>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</si>
  <si>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</si>
  <si>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</si>
  <si>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</si>
  <si>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</si>
  <si>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</si>
  <si>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</si>
  <si>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</si>
  <si>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</si>
  <si>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</si>
  <si>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</si>
  <si>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</si>
  <si>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</si>
  <si>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</si>
  <si>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</si>
  <si>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</si>
  <si>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</si>
  <si>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</si>
  <si>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</si>
  <si>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</si>
  <si>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</si>
  <si>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</si>
  <si>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</si>
  <si>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</si>
  <si>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</si>
  <si>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</si>
  <si>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</si>
  <si>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</si>
  <si>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</si>
  <si>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</si>
  <si>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</si>
  <si>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</si>
  <si>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</si>
  <si>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</si>
  <si>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</si>
  <si>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</si>
  <si>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</si>
  <si>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</si>
  <si>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</si>
  <si>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</si>
  <si>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</si>
  <si>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</si>
  <si>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</si>
  <si>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</si>
  <si>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</si>
  <si>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</si>
  <si>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</si>
  <si>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</si>
  <si>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</si>
  <si>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</si>
  <si>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</si>
  <si>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</si>
  <si>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</si>
  <si>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</si>
  <si>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</si>
  <si>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</si>
  <si>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</si>
  <si>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</si>
  <si>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</si>
  <si>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</si>
  <si>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</si>
  <si>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</si>
  <si>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</si>
  <si>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</si>
  <si>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</si>
  <si>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</si>
  <si>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</si>
  <si>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</si>
  <si>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</si>
  <si>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</si>
  <si>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</si>
  <si>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</si>
  <si>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</si>
  <si>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</si>
  <si>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</si>
  <si>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</si>
  <si>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</si>
  <si>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</si>
  <si>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</si>
  <si>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</si>
  <si>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</si>
  <si>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</si>
  <si>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</si>
  <si>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</si>
  <si>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</si>
  <si>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</si>
  <si>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</si>
  <si>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</si>
  <si>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</si>
  <si>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</si>
  <si>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</si>
  <si>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</si>
  <si>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</si>
  <si>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</si>
  <si>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</si>
  <si>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</si>
  <si>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</si>
  <si>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</si>
  <si>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</si>
  <si>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</si>
  <si>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</si>
  <si>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</si>
  <si>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</si>
  <si>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</si>
  <si>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</si>
  <si>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</si>
  <si>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</si>
  <si>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</si>
  <si>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</si>
  <si>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</si>
  <si>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</si>
  <si>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</si>
  <si>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</si>
  <si>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</si>
  <si>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</si>
  <si>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</si>
  <si>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</si>
  <si>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</si>
  <si>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</si>
  <si>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</si>
  <si>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</si>
  <si>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</si>
  <si>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</si>
  <si>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</si>
  <si>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</si>
  <si>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</si>
  <si>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</si>
  <si>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</si>
  <si>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</si>
  <si>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</si>
  <si>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</si>
  <si>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</si>
  <si>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</si>
  <si>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</si>
  <si>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</si>
  <si>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</si>
  <si>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</si>
  <si>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</si>
  <si>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</si>
  <si>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</si>
  <si>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</si>
  <si>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</si>
  <si>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</si>
  <si>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</si>
  <si>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</si>
  <si>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</si>
  <si>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</si>
  <si>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</si>
  <si>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</si>
  <si>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</si>
  <si>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</si>
  <si>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</si>
  <si>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</si>
  <si>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</si>
  <si>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</si>
  <si>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</si>
  <si>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</si>
  <si>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</si>
  <si>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</si>
  <si>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</si>
  <si>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</si>
  <si>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</si>
  <si>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</si>
  <si>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</si>
  <si>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</si>
  <si>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</si>
  <si>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</si>
  <si>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</si>
  <si>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</si>
  <si>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</si>
  <si>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</si>
  <si>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</si>
  <si>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</si>
  <si>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</si>
  <si>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</si>
  <si>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</si>
  <si>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</si>
  <si>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</si>
  <si>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</si>
  <si>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</si>
  <si>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</si>
  <si>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</si>
  <si>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</si>
  <si>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</si>
  <si>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</si>
  <si>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</si>
  <si>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</si>
  <si>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</si>
  <si>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</si>
  <si>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</si>
  <si>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</si>
  <si>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</si>
  <si>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</si>
  <si>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</si>
  <si>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</si>
  <si>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</si>
  <si>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</si>
  <si>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</si>
  <si>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</si>
  <si>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</si>
  <si>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</si>
  <si>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</si>
  <si>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</si>
  <si>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</si>
  <si>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</si>
  <si>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</si>
  <si>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</si>
  <si>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</si>
  <si>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</si>
  <si>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</si>
  <si>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</si>
  <si>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</si>
  <si>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</si>
  <si>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</si>
  <si>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</si>
  <si>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</si>
  <si>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</si>
  <si>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</si>
  <si>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</si>
  <si>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</si>
  <si>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</si>
  <si>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</si>
  <si>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</si>
  <si>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</si>
  <si>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</si>
  <si>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</si>
  <si>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</si>
  <si>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</si>
  <si>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</si>
  <si>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</si>
  <si>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</si>
  <si>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</si>
  <si>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</si>
  <si>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</si>
  <si>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</si>
  <si>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</si>
  <si>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</si>
  <si>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</si>
  <si>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</si>
  <si>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</si>
  <si>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</si>
  <si>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</si>
  <si>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</si>
  <si>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</si>
  <si>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</si>
  <si>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</si>
  <si>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</si>
  <si>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</si>
  <si>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</si>
  <si>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</si>
  <si>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</si>
  <si>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</si>
  <si>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</si>
  <si>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</si>
  <si>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</si>
  <si>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</si>
  <si>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</si>
  <si>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</si>
  <si>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</si>
  <si>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</si>
  <si>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</si>
  <si>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</si>
  <si>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</si>
  <si>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</si>
  <si>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</si>
  <si>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</si>
  <si>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</si>
  <si>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</si>
  <si>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</si>
  <si>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</si>
  <si>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</si>
  <si>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</si>
  <si>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</si>
  <si>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</si>
  <si>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</si>
  <si>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</si>
  <si>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</si>
  <si>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</si>
  <si>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</si>
  <si>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</si>
  <si>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</si>
  <si>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</si>
  <si>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</si>
  <si>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</si>
  <si>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</si>
  <si>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</si>
  <si>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</si>
  <si>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</si>
  <si>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</si>
  <si>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</si>
  <si>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</si>
  <si>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</si>
  <si>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</si>
  <si>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</si>
  <si>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</si>
  <si>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</si>
  <si>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</si>
  <si>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</si>
  <si>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</si>
  <si>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</si>
  <si>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</si>
  <si>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</si>
  <si>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</si>
  <si>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</si>
  <si>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</si>
  <si>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</si>
  <si>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</si>
  <si>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</si>
  <si>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</si>
  <si>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</si>
  <si>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</si>
  <si>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</si>
  <si>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</si>
  <si>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</si>
  <si>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</si>
  <si>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</si>
  <si>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</si>
  <si>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</si>
  <si>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</si>
  <si>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</si>
  <si>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</si>
  <si>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</si>
  <si>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</si>
  <si>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</si>
  <si>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</si>
  <si>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</si>
  <si>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</si>
  <si>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</si>
  <si>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</si>
  <si>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</si>
  <si>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</si>
  <si>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</si>
  <si>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</si>
  <si>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</si>
  <si>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</si>
  <si>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</si>
  <si>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</si>
  <si>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</si>
  <si>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</si>
  <si>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</si>
  <si>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</si>
  <si>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</si>
  <si>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</si>
  <si>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</si>
  <si>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</si>
  <si>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</si>
  <si>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</si>
  <si>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</si>
  <si>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</si>
  <si>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</si>
  <si>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</si>
  <si>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</si>
  <si>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</si>
  <si>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</si>
  <si>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</si>
  <si>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</si>
  <si>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</si>
  <si>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</si>
  <si>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</si>
  <si>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</si>
  <si>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</si>
  <si>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</si>
  <si>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</si>
  <si>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</si>
  <si>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</si>
  <si>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</si>
  <si>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</si>
  <si>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</si>
  <si>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</si>
  <si>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</si>
  <si>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</si>
  <si>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</si>
  <si>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</si>
  <si>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</si>
  <si>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</si>
  <si>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</si>
  <si>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</si>
  <si>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</si>
  <si>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</si>
  <si>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</si>
  <si>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</si>
  <si>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</si>
  <si>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</si>
  <si>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</si>
  <si>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</si>
  <si>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</si>
  <si>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</si>
  <si>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</si>
  <si>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</si>
  <si>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</si>
  <si>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</si>
  <si>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</si>
  <si>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</si>
  <si>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</si>
  <si>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</si>
  <si>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</si>
  <si>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</si>
  <si>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</si>
  <si>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</si>
  <si>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</si>
  <si>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</si>
  <si>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</si>
  <si>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</si>
  <si>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</si>
  <si>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</si>
  <si>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</si>
  <si>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</si>
  <si>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</si>
  <si>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</si>
  <si>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</si>
  <si>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</si>
  <si>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</si>
  <si>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</si>
  <si>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</si>
  <si>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</si>
  <si>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</si>
  <si>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</si>
  <si>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</si>
  <si>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</si>
  <si>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</si>
  <si>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</si>
  <si>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</si>
  <si>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</si>
  <si>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</si>
  <si>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</si>
  <si>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</si>
  <si>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</si>
  <si>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</si>
  <si>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</si>
  <si>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</si>
  <si>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</si>
  <si>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</si>
  <si>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</si>
  <si>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</si>
  <si>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</si>
  <si>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</si>
  <si>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</si>
  <si>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</si>
  <si>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</si>
  <si>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</si>
  <si>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</si>
  <si>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</si>
  <si>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</si>
  <si>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</si>
  <si>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</si>
  <si>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</si>
  <si>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</si>
  <si>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</si>
  <si>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</si>
  <si>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</si>
  <si>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</si>
  <si>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</si>
  <si>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</si>
  <si>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</si>
  <si>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</si>
  <si>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</si>
  <si>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</si>
  <si>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</si>
  <si>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</si>
  <si>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</si>
  <si>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</si>
  <si>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</si>
  <si>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</si>
  <si>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</si>
  <si>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</si>
  <si>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</si>
  <si>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</si>
  <si>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</si>
  <si>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</si>
  <si>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</si>
  <si>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</si>
  <si>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</si>
  <si>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</si>
  <si>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</si>
  <si>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</si>
  <si>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</si>
  <si>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</si>
  <si>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</si>
  <si>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</si>
  <si>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</si>
  <si>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</si>
  <si>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</si>
  <si>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</si>
  <si>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</si>
  <si>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</si>
  <si>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</si>
  <si>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</si>
  <si>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</si>
  <si>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</si>
  <si>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</si>
  <si>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</si>
  <si>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</si>
  <si>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</si>
  <si>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</si>
  <si>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</si>
  <si>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</si>
  <si>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</si>
  <si>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</si>
  <si>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</si>
  <si>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</si>
  <si>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</si>
  <si>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</si>
  <si>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</si>
  <si>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</si>
  <si>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</si>
  <si>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</si>
  <si>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</si>
  <si>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</si>
  <si>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</si>
  <si>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</si>
  <si>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</si>
  <si>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</si>
  <si>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</si>
  <si>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</si>
  <si>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</si>
  <si>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</si>
  <si>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</si>
  <si>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</si>
  <si>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</si>
  <si>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</si>
  <si>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</si>
  <si>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</si>
  <si>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</si>
  <si>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</si>
  <si>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</si>
  <si>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</si>
  <si>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</si>
  <si>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</si>
  <si>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</si>
  <si>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</si>
  <si>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</si>
  <si>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</si>
  <si>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</si>
  <si>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</si>
  <si>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</si>
  <si>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</si>
  <si>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</si>
  <si>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</si>
  <si>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</si>
  <si>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</si>
  <si>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</si>
  <si>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</si>
  <si>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</si>
  <si>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</si>
  <si>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</si>
  <si>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</si>
  <si>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</si>
  <si>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</si>
  <si>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</si>
  <si>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</si>
  <si>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</si>
  <si>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</si>
  <si>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</si>
  <si>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</si>
  <si>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</si>
  <si>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</si>
  <si>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</si>
  <si>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</si>
  <si>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</si>
  <si>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</si>
  <si>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</si>
  <si>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</si>
  <si>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</si>
  <si>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</si>
  <si>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</si>
  <si>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</si>
  <si>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</si>
  <si>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</si>
  <si>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</si>
  <si>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</si>
  <si>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</si>
  <si>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</si>
  <si>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</si>
  <si>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</si>
  <si>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</si>
  <si>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</si>
  <si>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</si>
  <si>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</si>
  <si>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</si>
  <si>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</si>
  <si>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</si>
  <si>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</si>
  <si>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</si>
  <si>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VESUBIE</t>
  </si>
  <si>
    <t xml:space="preserve">VESUBIE A UTELLE 4</t>
  </si>
  <si>
    <t xml:space="preserve">06212100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</si>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</sst>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42968</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v>
      </c>
      <c r="N5" s="324"/>
      <c r="O5" s="325" t="s">
        <v>134</v>
      </c>
      <c r="P5" s="326" t="n">
        <v>11.6521739130435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3392</v>
      </c>
      <c r="Q6" s="339"/>
      <c r="R6" s="281"/>
      <c r="S6" s="281"/>
      <c r="T6" s="281"/>
      <c r="U6" s="281"/>
      <c r="V6" s="281"/>
      <c r="W6" s="295"/>
      <c r="X6" s="0"/>
      <c r="Y6" s="0"/>
      <c r="Z6" s="0"/>
    </row>
    <row r="7" customFormat="false" ht="12.75" hidden="false" customHeight="false" outlineLevel="0" collapsed="false">
      <c r="A7" s="340" t="s">
        <v>3393</v>
      </c>
      <c r="B7" s="341" t="n">
        <v>90</v>
      </c>
      <c r="C7" s="342" t="n">
        <v>10</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10.6666666666667</v>
      </c>
      <c r="P8" s="356" t="n">
        <f aca="false">IF(ISERROR(AVERAGE(K23:K82)),"  ",AVERAGE(K23:K82))</f>
        <v>1.46666666666667</v>
      </c>
      <c r="Q8" s="357"/>
      <c r="R8" s="281"/>
      <c r="S8" s="281"/>
      <c r="T8" s="281"/>
      <c r="U8" s="281"/>
      <c r="V8" s="281"/>
      <c r="W8" s="295"/>
      <c r="X8" s="0"/>
      <c r="Y8" s="0"/>
      <c r="Z8" s="0"/>
    </row>
    <row r="9" customFormat="false" ht="12.75" hidden="false" customHeight="false" outlineLevel="0" collapsed="false">
      <c r="A9" s="314" t="s">
        <v>3399</v>
      </c>
      <c r="B9" s="358" t="n">
        <v>9</v>
      </c>
      <c r="C9" s="359" t="n">
        <v>8</v>
      </c>
      <c r="D9" s="360"/>
      <c r="E9" s="360"/>
      <c r="F9" s="361" t="n">
        <f aca="false">($B9*$B$7+$C9*$C$7)/100</f>
        <v>8.9</v>
      </c>
      <c r="G9" s="362"/>
      <c r="H9" s="317"/>
      <c r="I9" s="281"/>
      <c r="J9" s="363"/>
      <c r="K9" s="364"/>
      <c r="L9" s="347"/>
      <c r="M9" s="365"/>
      <c r="N9" s="355" t="s">
        <v>3400</v>
      </c>
      <c r="O9" s="356" t="n">
        <f aca="false">IF(ISERROR(STDEVP(J23:J82))," ",STDEVP(J23:J82))</f>
        <v>3.55277669185979</v>
      </c>
      <c r="P9" s="356" t="n">
        <f aca="false">IF(ISERROR(STDEVP(K23:K82)),"  ",STDEVP(K23:K82))</f>
        <v>0.618241233033047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5</v>
      </c>
      <c r="M13" s="381"/>
      <c r="N13" s="389" t="s">
        <v>3412</v>
      </c>
      <c r="O13" s="390" t="n">
        <f aca="false">COUNTIF(F23:F82,"&gt;0")</f>
        <v>17</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4</v>
      </c>
      <c r="M15" s="381"/>
      <c r="N15" s="389" t="s">
        <v>3418</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0.882352941176471</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8.76</v>
      </c>
      <c r="C20" s="433" t="n">
        <f aca="false">SUM(C23:C82)</f>
        <v>7.57</v>
      </c>
      <c r="D20" s="434"/>
      <c r="E20" s="435" t="s">
        <v>3425</v>
      </c>
      <c r="F20" s="436" t="n">
        <f aca="false">($B20*$B$7+$C20*$C$7)/100</f>
        <v>8.641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7.884</v>
      </c>
      <c r="C21" s="444" t="n">
        <f aca="false">C20*C7/100</f>
        <v>0.757</v>
      </c>
      <c r="D21" s="445" t="s">
        <v>3428</v>
      </c>
      <c r="E21" s="446"/>
      <c r="F21" s="447" t="n">
        <f aca="false">B21+C21</f>
        <v>8.641</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3</v>
      </c>
      <c r="C23" s="473" t="n">
        <v>2.5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2.95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2.95</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0.05</v>
      </c>
      <c r="C24" s="491" t="n">
        <v>0.03</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0.048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0.048</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5</v>
      </c>
      <c r="C25" s="491" t="n">
        <v>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5</v>
      </c>
      <c r="S25" s="485" t="n">
        <f aca="false">IF(OR(ISTEXT(H25),R25=0),"",IF(R25&lt;0.1,1,IF(R25&lt;1,2,IF(R25&lt;10,3,IF(R25&lt;50,4,IF(R25&gt;=50,5,""))))))</f>
        <v>3</v>
      </c>
      <c r="T25" s="485" t="n">
        <f aca="false">IF(ISERROR(S25*J25),0,S25*J25)</f>
        <v>30</v>
      </c>
      <c r="U25" s="485" t="n">
        <f aca="false">IF(ISERROR(S25*J25*K25),0,S25*J25*K25)</f>
        <v>30</v>
      </c>
      <c r="V25" s="501" t="n">
        <f aca="false">IF(ISERROR(S25*K25),0,S25*K25)</f>
        <v>3</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234</v>
      </c>
      <c r="B26" s="490" t="n">
        <v>0.5</v>
      </c>
      <c r="C26" s="491"/>
      <c r="D26" s="492" t="str">
        <f aca="false">IF(ISERROR(VLOOKUP($A26,'liste reference'!$A$6:$B$1174,2,0)),IF(ISERROR(VLOOKUP($A26,'liste reference'!$B$6:$B$1174,1,0)),"",VLOOKUP($A26,'liste reference'!$B$6:$B$1174,1,0)),VLOOKUP($A26,'liste reference'!$A$6:$B$1174,2,0))</f>
        <v>Microcoleus sp.</v>
      </c>
      <c r="E26" s="493" t="e">
        <f aca="false">IF(D26="",0,VLOOKUP(D26,D$22:D25,1,0))</f>
        <v>#N/A</v>
      </c>
      <c r="F26" s="494" t="n">
        <f aca="false">IF(AND(OR(A26="",A26="!!!!!!"),B26="",C26=""),"",IF(OR(AND(B26="",C26=""),ISERROR(C26+B26)),"!!!",($B26*$B$7+$C26*$C$7)/100))</f>
        <v>0.45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Microcoleus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6405</v>
      </c>
      <c r="R26" s="484" t="n">
        <f aca="false">IF(ISTEXT(H26),"",(B26*$B$7/100)+(C26*$C$7/100))</f>
        <v>0.45</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MIRSPX</v>
      </c>
      <c r="Z26" s="470" t="n">
        <f aca="false">IF(ISERROR(MATCH(A26,'liste reference'!$A$6:$A$1174,0)),IF(ISERROR(MATCH(A26,'liste reference'!$B$6:$B$1174,0)),"",(MATCH(A26,'liste reference'!$B$6:$B$1174,0))),(MATCH(A26,'liste reference'!$A$6:$A$1174,0)))</f>
        <v>64</v>
      </c>
    </row>
    <row r="27" customFormat="false" ht="12.75" hidden="false" customHeight="false" outlineLevel="0" collapsed="false">
      <c r="A27" s="489" t="s">
        <v>309</v>
      </c>
      <c r="B27" s="490" t="n">
        <v>0.05</v>
      </c>
      <c r="C27" s="491" t="n">
        <v>0.03</v>
      </c>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0.048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0.048</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0.01</v>
      </c>
      <c r="C28" s="491" t="n">
        <v>0.01</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0.01</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395</v>
      </c>
      <c r="B29" s="490" t="n">
        <v>0.01</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0.009</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0.009</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712</v>
      </c>
      <c r="B30" s="490" t="n">
        <v>0.04</v>
      </c>
      <c r="C30" s="491"/>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0.036</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0.036</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723</v>
      </c>
      <c r="B31" s="490" t="n">
        <v>0.01</v>
      </c>
      <c r="C31" s="491"/>
      <c r="D31" s="492" t="str">
        <f aca="false">IF(ISERROR(VLOOKUP($A31,'liste reference'!$A$6:$B$1174,2,0)),IF(ISERROR(VLOOKUP($A31,'liste reference'!$B$6:$B$1174,1,0)),"",VLOOKUP($A31,'liste reference'!$B$6:$B$1174,1,0)),VLOOKUP($A31,'liste reference'!$A$6:$B$1174,2,0))</f>
        <v>Cratoneuron filicinum</v>
      </c>
      <c r="E31" s="493" t="e">
        <f aca="false">IF(D31="",0,VLOOKUP(D31,D$22:D30,1,0))</f>
        <v>#N/A</v>
      </c>
      <c r="F31" s="494" t="n">
        <f aca="false">IF(AND(OR(A31="",A31="!!!!!!"),B31="",C31=""),"",IF(OR(AND(B31="",C31=""),ISERROR(C31+B31)),"!!!",($B31*$B$7+$C31*$C$7)/100))</f>
        <v>0.009</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18</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Cratoneuron filicinum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1233</v>
      </c>
      <c r="R31" s="484" t="n">
        <f aca="false">IF(ISTEXT(H31),"",(B31*$B$7/100)+(C31*$C$7/100))</f>
        <v>0.009</v>
      </c>
      <c r="S31" s="485" t="n">
        <f aca="false">IF(OR(ISTEXT(H31),R31=0),"",IF(R31&lt;0.1,1,IF(R31&lt;1,2,IF(R31&lt;10,3,IF(R31&lt;50,4,IF(R31&gt;=50,5,""))))))</f>
        <v>1</v>
      </c>
      <c r="T31" s="485" t="n">
        <f aca="false">IF(ISERROR(S31*J31),0,S31*J31)</f>
        <v>18</v>
      </c>
      <c r="U31" s="485" t="n">
        <f aca="false">IF(ISERROR(S31*J31*K31),0,S31*J31*K31)</f>
        <v>54</v>
      </c>
      <c r="V31" s="501" t="n">
        <f aca="false">IF(ISERROR(S31*K31),0,S31*K31)</f>
        <v>3</v>
      </c>
      <c r="W31" s="502"/>
      <c r="X31" s="503"/>
      <c r="Y31" s="488" t="str">
        <f aca="false">IF(AND(ISNUMBER(F31),OR(A31="",A31="!!!!!!")),"!!!!!!",IF(A31="new.cod","NEWCOD",IF(AND((Z31=""),ISTEXT(A31),A31&lt;&gt;"!!!!!!"),A31,IF(Z31="","",INDEX('liste reference'!$A$6:$A$1174,Z31)))))</f>
        <v>CRAFIL</v>
      </c>
      <c r="Z31" s="470" t="n">
        <f aca="false">IF(ISERROR(MATCH(A31,'liste reference'!$A$6:$A$1174,0)),IF(ISERROR(MATCH(A31,'liste reference'!$B$6:$B$1174,0)),"",(MATCH(A31,'liste reference'!$B$6:$B$1174,0))),(MATCH(A31,'liste reference'!$A$6:$A$1174,0)))</f>
        <v>227</v>
      </c>
    </row>
    <row r="32" customFormat="false" ht="12.75" hidden="false" customHeight="false" outlineLevel="0" collapsed="false">
      <c r="A32" s="489" t="s">
        <v>830</v>
      </c>
      <c r="B32" s="490" t="n">
        <v>0.01</v>
      </c>
      <c r="C32" s="491"/>
      <c r="D32" s="492" t="str">
        <f aca="false">IF(ISERROR(VLOOKUP($A32,'liste reference'!$A$6:$B$1174,2,0)),IF(ISERROR(VLOOKUP($A32,'liste reference'!$B$6:$B$1174,1,0)),"",VLOOKUP($A32,'liste reference'!$B$6:$B$1174,1,0)),VLOOKUP($A32,'liste reference'!$A$6:$B$1174,2,0))</f>
        <v>Fissidens crassipes</v>
      </c>
      <c r="E32" s="493" t="e">
        <f aca="false">IF(D32="",0,VLOOKUP(D32,D$22:D31,1,0))</f>
        <v>#N/A</v>
      </c>
      <c r="F32" s="494" t="n">
        <f aca="false">IF(AND(OR(A32="",A32="!!!!!!"),B32="",C32=""),"",IF(OR(AND(B32="",C32=""),ISERROR(C32+B32)),"!!!",($B32*$B$7+$C32*$C$7)/100))</f>
        <v>0.009</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crassipes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1294</v>
      </c>
      <c r="R32" s="484" t="n">
        <f aca="false">IF(ISTEXT(H32),"",(B32*$B$7/100)+(C32*$C$7/100))</f>
        <v>0.009</v>
      </c>
      <c r="S32" s="485" t="n">
        <f aca="false">IF(OR(ISTEXT(H32),R32=0),"",IF(R32&lt;0.1,1,IF(R32&lt;1,2,IF(R32&lt;10,3,IF(R32&lt;50,4,IF(R32&gt;=50,5,""))))))</f>
        <v>1</v>
      </c>
      <c r="T32" s="485" t="n">
        <f aca="false">IF(ISERROR(S32*J32),0,S32*J32)</f>
        <v>12</v>
      </c>
      <c r="U32" s="485" t="n">
        <f aca="false">IF(ISERROR(S32*J32*K32),0,S32*J32*K32)</f>
        <v>24</v>
      </c>
      <c r="V32" s="501" t="n">
        <f aca="false">IF(ISERROR(S32*K32),0,S32*K32)</f>
        <v>2</v>
      </c>
      <c r="W32" s="502"/>
      <c r="X32" s="503"/>
      <c r="Y32" s="488" t="str">
        <f aca="false">IF(AND(ISNUMBER(F32),OR(A32="",A32="!!!!!!")),"!!!!!!",IF(A32="new.cod","NEWCOD",IF(AND((Z32=""),ISTEXT(A32),A32&lt;&gt;"!!!!!!"),A32,IF(Z32="","",INDEX('liste reference'!$A$6:$A$1174,Z32)))))</f>
        <v>FISCRA</v>
      </c>
      <c r="Z32" s="470" t="n">
        <f aca="false">IF(ISERROR(MATCH(A32,'liste reference'!$A$6:$A$1174,0)),IF(ISERROR(MATCH(A32,'liste reference'!$B$6:$B$1174,0)),"",(MATCH(A32,'liste reference'!$B$6:$B$1174,0))),(MATCH(A32,'liste reference'!$A$6:$A$1174,0)))</f>
        <v>255</v>
      </c>
    </row>
    <row r="33" customFormat="false" ht="12.75" hidden="false" customHeight="false" outlineLevel="0" collapsed="false">
      <c r="A33" s="489" t="s">
        <v>974</v>
      </c>
      <c r="B33" s="490" t="n">
        <v>0.01</v>
      </c>
      <c r="C33" s="491"/>
      <c r="D33" s="492" t="str">
        <f aca="false">IF(ISERROR(VLOOKUP($A33,'liste reference'!$A$6:$B$1174,2,0)),IF(ISERROR(VLOOKUP($A33,'liste reference'!$B$6:$B$1174,1,0)),"",VLOOKUP($A33,'liste reference'!$B$6:$B$1174,1,0)),VLOOKUP($A33,'liste reference'!$A$6:$B$1174,2,0))</f>
        <v>Leptodictyum riparium </v>
      </c>
      <c r="E33" s="493" t="e">
        <f aca="false">IF(D33="",0,VLOOKUP(D33,D$22:D32,1,0))</f>
        <v>#N/A</v>
      </c>
      <c r="F33" s="494" t="n">
        <f aca="false">IF(AND(OR(A33="",A33="!!!!!!"),B33="",C33=""),"",IF(OR(AND(B33="",C33=""),ISERROR(C33+B33)),"!!!",($B33*$B$7+$C33*$C$7)/100))</f>
        <v>0.009</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Leptodictyum riparium </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1244</v>
      </c>
      <c r="R33" s="484" t="n">
        <f aca="false">IF(ISTEXT(H33),"",(B33*$B$7/100)+(C33*$C$7/100))</f>
        <v>0.009</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LEORIP</v>
      </c>
      <c r="Z33" s="470" t="n">
        <f aca="false">IF(ISERROR(MATCH(A33,'liste reference'!$A$6:$A$1174,0)),IF(ISERROR(MATCH(A33,'liste reference'!$B$6:$B$1174,0)),"",(MATCH(A33,'liste reference'!$B$6:$B$1174,0))),(MATCH(A33,'liste reference'!$A$6:$A$1174,0)))</f>
        <v>298</v>
      </c>
    </row>
    <row r="34" customFormat="false" ht="12.75" hidden="false" customHeight="false" outlineLevel="0" collapsed="false">
      <c r="A34" s="489" t="s">
        <v>1122</v>
      </c>
      <c r="B34" s="490" t="n">
        <v>0.02</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0.018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0.018</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1255</v>
      </c>
      <c r="B35" s="490" t="n">
        <v>0.01</v>
      </c>
      <c r="C35" s="491"/>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0.009</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0.009</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1483</v>
      </c>
      <c r="B36" s="490" t="n">
        <v>0.01</v>
      </c>
      <c r="C36" s="491"/>
      <c r="D36" s="492" t="str">
        <f aca="false">IF(ISERROR(VLOOKUP($A36,'liste reference'!$A$6:$B$1174,2,0)),IF(ISERROR(VLOOKUP($A36,'liste reference'!$B$6:$B$1174,1,0)),"",VLOOKUP($A36,'liste reference'!$B$6:$B$1174,1,0)),VLOOKUP($A36,'liste reference'!$A$6:$B$1174,2,0))</f>
        <v>Helosciadium nodiflorum </v>
      </c>
      <c r="E36" s="493" t="e">
        <f aca="false">IF(D36="",0,VLOOKUP(D36,D$22:D35,1,0))</f>
        <v>#N/A</v>
      </c>
      <c r="F36" s="494" t="n">
        <f aca="false">IF(AND(OR(A36="",A36="!!!!!!"),B36="",C36=""),"",IF(OR(AND(B36="",C36=""),ISERROR(C36+B36)),"!!!",($B36*$B$7+$C36*$C$7)/100))</f>
        <v>0.009</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Helosciadium nodiflorum </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30053</v>
      </c>
      <c r="R36" s="484" t="n">
        <f aca="false">IF(ISTEXT(H36),"",(B36*$B$7/100)+(C36*$C$7/100))</f>
        <v>0.009</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HELNOD</v>
      </c>
      <c r="Z36" s="470" t="n">
        <f aca="false">IF(ISERROR(MATCH(A36,'liste reference'!$A$6:$A$1174,0)),IF(ISERROR(MATCH(A36,'liste reference'!$B$6:$B$1174,0)),"",(MATCH(A36,'liste reference'!$B$6:$B$1174,0))),(MATCH(A36,'liste reference'!$A$6:$A$1174,0)))</f>
        <v>460</v>
      </c>
    </row>
    <row r="37" customFormat="false" ht="12.75" hidden="false" customHeight="false" outlineLevel="0" collapsed="false">
      <c r="A37" s="489" t="s">
        <v>1932</v>
      </c>
      <c r="B37" s="490" t="n">
        <v>0.01</v>
      </c>
      <c r="C37" s="491"/>
      <c r="D37" s="492" t="str">
        <f aca="false">IF(ISERROR(VLOOKUP($A37,'liste reference'!$A$6:$B$1174,2,0)),IF(ISERROR(VLOOKUP($A37,'liste reference'!$B$6:$B$1174,1,0)),"",VLOOKUP($A37,'liste reference'!$B$6:$B$1174,1,0)),VLOOKUP($A37,'liste reference'!$A$6:$B$1174,2,0))</f>
        <v>Agrostis stolonifera</v>
      </c>
      <c r="E37" s="493" t="e">
        <f aca="false">IF(D37="",0,VLOOKUP(D37,D$22:D36,1,0))</f>
        <v>#N/A</v>
      </c>
      <c r="F37" s="494" t="n">
        <f aca="false">IF(AND(OR(A37="",A37="!!!!!!"),B37="",C37=""),"",IF(OR(AND(B37="",C37=""),ISERROR(C37+B37)),"!!!",($B37*$B$7+$C37*$C$7)/100))</f>
        <v>0.009</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Agrostis stolonifera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1543</v>
      </c>
      <c r="R37" s="484" t="n">
        <f aca="false">IF(ISTEXT(H37),"",(B37*$B$7/100)+(C37*$C$7/100))</f>
        <v>0.009</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AGRSTO</v>
      </c>
      <c r="Z37" s="470" t="n">
        <f aca="false">IF(ISERROR(MATCH(A37,'liste reference'!$A$6:$A$1174,0)),IF(ISERROR(MATCH(A37,'liste reference'!$B$6:$B$1174,0)),"",(MATCH(A37,'liste reference'!$B$6:$B$1174,0))),(MATCH(A37,'liste reference'!$A$6:$A$1174,0)))</f>
        <v>623</v>
      </c>
    </row>
    <row r="38" customFormat="false" ht="12.75" hidden="false" customHeight="false" outlineLevel="0" collapsed="false">
      <c r="A38" s="489" t="s">
        <v>2136</v>
      </c>
      <c r="B38" s="490" t="n">
        <v>0.01</v>
      </c>
      <c r="C38" s="491"/>
      <c r="D38" s="492" t="str">
        <f aca="false">IF(ISERROR(VLOOKUP($A38,'liste reference'!$A$6:$B$1174,2,0)),IF(ISERROR(VLOOKUP($A38,'liste reference'!$B$6:$B$1174,1,0)),"",VLOOKUP($A38,'liste reference'!$B$6:$B$1174,1,0)),VLOOKUP($A38,'liste reference'!$A$6:$B$1174,2,0))</f>
        <v>Mentha aquatica</v>
      </c>
      <c r="E38" s="493" t="e">
        <f aca="false">IF(D38="",0,VLOOKUP(D38,D$22:D37,1,0))</f>
        <v>#N/A</v>
      </c>
      <c r="F38" s="494" t="n">
        <f aca="false">IF(AND(OR(A38="",A38="!!!!!!"),B38="",C38=""),"",IF(OR(AND(B38="",C38=""),ISERROR(C38+B38)),"!!!",($B38*$B$7+$C38*$C$7)/100))</f>
        <v>0.009</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Mentha aquatica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1791</v>
      </c>
      <c r="R38" s="484" t="n">
        <f aca="false">IF(ISTEXT(H38),"",(B38*$B$7/100)+(C38*$C$7/100))</f>
        <v>0.009</v>
      </c>
      <c r="S38" s="485" t="n">
        <f aca="false">IF(OR(ISTEXT(H38),R38=0),"",IF(R38&lt;0.1,1,IF(R38&lt;1,2,IF(R38&lt;10,3,IF(R38&lt;50,4,IF(R38&gt;=50,5,""))))))</f>
        <v>1</v>
      </c>
      <c r="T38" s="485" t="n">
        <f aca="false">IF(ISERROR(S38*J38),0,S38*J38)</f>
        <v>12</v>
      </c>
      <c r="U38" s="485" t="n">
        <f aca="false">IF(ISERROR(S38*J38*K38),0,S38*J38*K38)</f>
        <v>12</v>
      </c>
      <c r="V38" s="501" t="n">
        <f aca="false">IF(ISERROR(S38*K38),0,S38*K38)</f>
        <v>1</v>
      </c>
      <c r="W38" s="502"/>
      <c r="X38" s="503"/>
      <c r="Y38" s="488" t="str">
        <f aca="false">IF(AND(ISNUMBER(F38),OR(A38="",A38="!!!!!!")),"!!!!!!",IF(A38="new.cod","NEWCOD",IF(AND((Z38=""),ISTEXT(A38),A38&lt;&gt;"!!!!!!"),A38,IF(Z38="","",INDEX('liste reference'!$A$6:$A$1174,Z38)))))</f>
        <v>MENAQU</v>
      </c>
      <c r="Z38" s="470" t="n">
        <f aca="false">IF(ISERROR(MATCH(A38,'liste reference'!$A$6:$A$1174,0)),IF(ISERROR(MATCH(A38,'liste reference'!$B$6:$B$1174,0)),"",(MATCH(A38,'liste reference'!$B$6:$B$1174,0))),(MATCH(A38,'liste reference'!$A$6:$A$1174,0)))</f>
        <v>694</v>
      </c>
    </row>
    <row r="39" customFormat="false" ht="12.75" hidden="false" customHeight="false" outlineLevel="0" collapsed="false">
      <c r="A39" s="489" t="s">
        <v>2170</v>
      </c>
      <c r="B39" s="490" t="n">
        <v>0.01</v>
      </c>
      <c r="C39" s="491"/>
      <c r="D39" s="492" t="str">
        <f aca="false">IF(ISERROR(VLOOKUP($A39,'liste reference'!$A$6:$B$1174,2,0)),IF(ISERROR(VLOOKUP($A39,'liste reference'!$B$6:$B$1174,1,0)),"",VLOOKUP($A39,'liste reference'!$B$6:$B$1174,1,0)),VLOOKUP($A39,'liste reference'!$A$6:$B$1174,2,0))</f>
        <v>Phalaris arundinacea</v>
      </c>
      <c r="E39" s="493" t="e">
        <f aca="false">IF(D39="",0,VLOOKUP(D39,D$22:D38,1,0))</f>
        <v>#N/A</v>
      </c>
      <c r="F39" s="494" t="n">
        <f aca="false">IF(AND(OR(A39="",A39="!!!!!!"),B39="",C39=""),"",IF(OR(AND(B39="",C39=""),ISERROR(C39+B39)),"!!!",($B39*$B$7+$C39*$C$7)/100))</f>
        <v>0.009</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Phalaris arundinacea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1577</v>
      </c>
      <c r="R39" s="484" t="n">
        <f aca="false">IF(ISTEXT(H39),"",(B39*$B$7/100)+(C39*$C$7/100))</f>
        <v>0.009</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PHAARU</v>
      </c>
      <c r="Z39" s="470" t="n">
        <f aca="false">IF(ISERROR(MATCH(A39,'liste reference'!$A$6:$A$1174,0)),IF(ISERROR(MATCH(A39,'liste reference'!$B$6:$B$1174,0)),"",(MATCH(A39,'liste reference'!$B$6:$B$1174,0))),(MATCH(A39,'liste reference'!$A$6:$A$1174,0)))</f>
        <v>707</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8.641</v>
      </c>
      <c r="G83" s="424"/>
      <c r="H83" s="424"/>
      <c r="I83" s="424"/>
      <c r="J83" s="424"/>
      <c r="K83" s="424"/>
      <c r="L83" s="424"/>
      <c r="M83" s="485"/>
      <c r="N83" s="485"/>
      <c r="O83" s="485"/>
      <c r="P83" s="485"/>
      <c r="Q83" s="485"/>
      <c r="R83" s="485"/>
      <c r="S83" s="485"/>
      <c r="T83" s="485"/>
      <c r="U83" s="485"/>
      <c r="V83" s="485" t="n">
        <f aca="false">SUM(V23:V82)</f>
        <v>26</v>
      </c>
      <c r="W83" s="485"/>
      <c r="X83" s="523"/>
      <c r="Y83" s="523"/>
      <c r="Z83" s="524"/>
    </row>
    <row r="84" customFormat="false" ht="12.75" hidden="true" customHeight="false" outlineLevel="0" collapsed="false">
      <c r="A84" s="518" t="str">
        <f aca="false">A3</f>
        <v>VESUBIE</v>
      </c>
      <c r="B84" s="453" t="str">
        <f aca="false">C3</f>
        <v>VESUBIE A UTELLE 4</v>
      </c>
      <c r="C84" s="525" t="str">
        <f aca="false">A4</f>
        <v>(Date)</v>
      </c>
      <c r="D84" s="526" t="n">
        <f aca="false">IF(OR(ISERROR(SUM($U$23:$U$82)/SUM($V$23:$V$82)),F7&lt;&gt;100),-1,SUM($U$23:$U$82)/SUM($V$23:$V$82))</f>
        <v>11</v>
      </c>
      <c r="E84" s="527" t="n">
        <f aca="false">O13</f>
        <v>17</v>
      </c>
      <c r="F84" s="453" t="n">
        <f aca="false">O14</f>
        <v>15</v>
      </c>
      <c r="G84" s="453" t="n">
        <f aca="false">O15</f>
        <v>9</v>
      </c>
      <c r="H84" s="453" t="n">
        <f aca="false">O16</f>
        <v>5</v>
      </c>
      <c r="I84" s="453" t="n">
        <f aca="false">O17</f>
        <v>1</v>
      </c>
      <c r="J84" s="528" t="n">
        <f aca="false">O8</f>
        <v>10.6666666666667</v>
      </c>
      <c r="K84" s="529" t="n">
        <f aca="false">O9</f>
        <v>3.55277669185979</v>
      </c>
      <c r="L84" s="530" t="n">
        <f aca="false">O10</f>
        <v>4</v>
      </c>
      <c r="M84" s="530" t="n">
        <f aca="false">O11</f>
        <v>18</v>
      </c>
      <c r="N84" s="529" t="n">
        <f aca="false">P8</f>
        <v>1.46666666666667</v>
      </c>
      <c r="O84" s="529" t="n">
        <f aca="false">P9</f>
        <v>0.618241233033047</v>
      </c>
      <c r="P84" s="530" t="n">
        <f aca="false">P10</f>
        <v>1</v>
      </c>
      <c r="Q84" s="530" t="n">
        <f aca="false">P11</f>
        <v>3</v>
      </c>
      <c r="R84" s="530" t="n">
        <f aca="false">F21</f>
        <v>8.641</v>
      </c>
      <c r="S84" s="530" t="n">
        <f aca="false">L11</f>
        <v>0</v>
      </c>
      <c r="T84" s="530" t="n">
        <f aca="false">L12</f>
        <v>7</v>
      </c>
      <c r="U84" s="530" t="n">
        <f aca="false">L13</f>
        <v>5</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18</v>
      </c>
      <c r="U87" s="281"/>
      <c r="V87" s="281"/>
    </row>
    <row r="88" customFormat="false" ht="12.75" hidden="true" customHeight="false" outlineLevel="0" collapsed="false">
      <c r="C88" s="534"/>
      <c r="D88" s="534"/>
      <c r="E88" s="534"/>
      <c r="R88" s="281" t="s">
        <v>3452</v>
      </c>
      <c r="S88" s="281"/>
      <c r="T88" s="536" t="n">
        <f aca="false">VLOOKUP($T$91,($A$23:$U$82),21,0)</f>
        <v>18</v>
      </c>
      <c r="U88" s="281"/>
      <c r="V88" s="281" t="n">
        <f aca="false">COUNTIF(V23:V82,T89)</f>
        <v>3</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11.6521739130435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jlam</cp:lastModifiedBy>
  <cp:lastPrinted>2015-05-20T11:23:22Z</cp:lastPrinted>
  <dcterms:modified xsi:type="dcterms:W3CDTF">2018-03-30T08:47:39Z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