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ar-St-Laurent-Var" sheetId="1" state="visible" r:id="rId3"/>
  </sheets>
  <externalReferences>
    <externalReference r:id="rId4"/>
  </externalReferences>
  <definedNames>
    <definedName function="false" hidden="false" localSheetId="0" name="_xlnm.Print_Area" vbProcedure="false">'Var-St-Laurent-Var'!$A$1:$O$82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'Var-St-Laurent-Var'!$A$23:$J$84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<sst xmlns="http://schemas.openxmlformats.org/spreadsheetml/2006/main" count="90" uniqueCount="86">
  <si>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</si>
  <si>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</si>
  <si>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</si>
  <si>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</si>
  <si>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</si>
  <si>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Var</t>
  </si>
  <si>
    <t xml:space="preserve">St Laurent du Var</t>
  </si>
  <si>
    <t xml:space="preserve">06213000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</si>
  <si>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</si>
  <si>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</si>
  <si>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</si>
  <si>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</si>
  <si>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</si>
  <si>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</si>
  <si>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</si>
  <si>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CLA.SPX</t>
  </si>
  <si>
    <t xml:space="preserve">Type de faciès</t>
  </si>
  <si>
    <t xml:space="preserve">pl. courant</t>
  </si>
  <si>
    <t xml:space="preserve">niv. trophique:</t>
  </si>
  <si>
    <t xml:space="preserve">fort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</si>
  <si>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</si>
  <si>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</si>
  <si>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</si>
  <si>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</si>
  <si>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</si>
  <si>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</si>
  <si>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</si>
  <si>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</si>
  <si>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</si>
  <si>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</si>
  <si>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</si>
  <si>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</si>
  <si>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</si>
  <si>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</si>
  <si>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</si>
  <si>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</si>
  <si>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</si>
  <si>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</si>
  <si>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</si>
  <si>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</si>
  <si>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</si>
  <si>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</si>
  <si>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</si>
  <si>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</si>
  <si>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</si>
  <si>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</si>
  <si>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</si>
  <si>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</si>
  <si>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</si>
  <si>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</si>
  <si>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</si>
  <si>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</si>
  <si>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</si>
  <si>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</si>
  <si>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</si>
  <si>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</si>
  <si>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</si>
  <si>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</si>
  <si>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</si>
  <si>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</si>
  <si>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</si>
  <si>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</si>
  <si>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</si>
  <si>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</si>
  <si>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</si>
  <si>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</si>
  <si>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</si>
  <si>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</si>
  <si>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</si>
  <si>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</si>
  <si>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</si>
  <si>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</si>
  <si>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</si>
  <si>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DIA.SPX</t>
  </si>
  <si>
    <t xml:space="preserve">PHR.AUS</t>
  </si>
  <si>
    <t xml:space="preserve">PHA.ARU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</si>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</sst>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-IBMR-RCS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Ouvèze-Sorgues"/><sheetName val="Eygue-Orange"/><sheetName val="Lez-Mondragon"/><sheetName val="Argens-Thoronet"/><sheetName val="Argens-Roquebrune"/><sheetName val="Verdon-Vinon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40022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9.25</v>
      </c>
      <c r="M5" s="52"/>
      <c r="N5" s="53" t="s">
        <v>15</v>
      </c>
      <c r="O5" s="54" t="n">
        <v>10.3333333333333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9.4</v>
      </c>
      <c r="O8" s="83" t="n">
        <f aca="false">AVERAGE(J23:J82)</f>
        <v>1.4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2.19089023002066</v>
      </c>
      <c r="O9" s="83" t="n">
        <f aca="false">STDEV(J23:J82)</f>
        <v>0.547722557505166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0.24</v>
      </c>
      <c r="C12" s="118"/>
      <c r="D12" s="110"/>
      <c r="E12" s="110"/>
      <c r="F12" s="111" t="n">
        <f aca="false">($B12*$B$7+$C12*$C$7)/100</f>
        <v>0.24</v>
      </c>
      <c r="G12" s="119"/>
      <c r="H12" s="67"/>
      <c r="I12" s="120" t="s">
        <v>36</v>
      </c>
      <c r="J12" s="120"/>
      <c r="K12" s="114" t="n">
        <f aca="false">COUNTIF($G$23:$G$82,"=ALG")</f>
        <v>2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5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5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0.02</v>
      </c>
      <c r="C15" s="133"/>
      <c r="D15" s="110"/>
      <c r="E15" s="110"/>
      <c r="F15" s="111" t="n">
        <f aca="false">($B15*$B$7+$C15*$C$7)/100</f>
        <v>0.02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2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0.24</v>
      </c>
      <c r="C17" s="118"/>
      <c r="D17" s="110"/>
      <c r="E17" s="110"/>
      <c r="F17" s="140"/>
      <c r="G17" s="111" t="n">
        <f aca="false">($B17*$B$7+$C17*$C$7)/100</f>
        <v>0.24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0.03</v>
      </c>
      <c r="C18" s="143"/>
      <c r="D18" s="110"/>
      <c r="E18" s="144" t="s">
        <v>51</v>
      </c>
      <c r="F18" s="140"/>
      <c r="G18" s="111" t="n">
        <f aca="false">($B18*$B$7+$C18*$C$7)/100</f>
        <v>0.03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0.27</v>
      </c>
      <c r="G19" s="152" t="n">
        <f aca="false">SUM(G16:G18)</f>
        <v>0.27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0.27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0.27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0.27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0.27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15</v>
      </c>
      <c r="B23" s="196" t="n">
        <v>0.2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0.2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0.2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12</v>
      </c>
      <c r="S23" s="208" t="n">
        <f aca="false">IF(ISERROR(Q23*I23*J23),0,Q23*I23*J23)</f>
        <v>12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73</v>
      </c>
      <c r="B24" s="215" t="n">
        <v>0.04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0.04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0.04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12</v>
      </c>
      <c r="S24" s="208" t="n">
        <f aca="false">IF(ISERROR(Q24*I24*J24),0,Q24*I24*J24)</f>
        <v>24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Phragmites australis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PHe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8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9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Phragmites australis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9</v>
      </c>
      <c r="S25" s="208" t="n">
        <f aca="false">IF(ISERROR(Q25*I25*J25),0,Q25*I25*J25)</f>
        <v>18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PHR.AUS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641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Phalaris arundinacea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PHe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8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Phalaris arundinacea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PHA.ARU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640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Equisetum palustre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PTE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6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10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Equisetum palustre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10</v>
      </c>
      <c r="S27" s="208" t="n">
        <f aca="false">IF(ISERROR(Q27*I27*J27),0,Q27*I27*J27)</f>
        <v>10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EQU.PAL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282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77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Var</v>
      </c>
      <c r="B84" s="247" t="str">
        <f aca="false">C3</f>
        <v>St Laurent du Var</v>
      </c>
      <c r="C84" s="248" t="n">
        <f aca="false">A4</f>
        <v>40022</v>
      </c>
      <c r="D84" s="249" t="n">
        <f aca="false">IF(ISERROR(SUM($S$23:$S$82)/SUM($T$23:$T$82)),"",SUM($S$23:$S$82)/SUM($T$23:$T$82))</f>
        <v>9.25</v>
      </c>
      <c r="E84" s="250" t="n">
        <f aca="false">N13</f>
        <v>5</v>
      </c>
      <c r="F84" s="247" t="n">
        <f aca="false">N14</f>
        <v>5</v>
      </c>
      <c r="G84" s="247" t="n">
        <f aca="false">N15</f>
        <v>3</v>
      </c>
      <c r="H84" s="247" t="n">
        <f aca="false">N16</f>
        <v>2</v>
      </c>
      <c r="I84" s="247" t="n">
        <f aca="false">N17</f>
        <v>0</v>
      </c>
      <c r="J84" s="251" t="n">
        <f aca="false">N8</f>
        <v>9.4</v>
      </c>
      <c r="K84" s="249" t="n">
        <f aca="false">N9</f>
        <v>2.19089023002066</v>
      </c>
      <c r="L84" s="250" t="n">
        <f aca="false">N10</f>
        <v>6</v>
      </c>
      <c r="M84" s="250" t="n">
        <f aca="false">N11</f>
        <v>12</v>
      </c>
      <c r="N84" s="249" t="n">
        <f aca="false">O8</f>
        <v>1.4</v>
      </c>
      <c r="O84" s="249" t="n">
        <f aca="false">O9</f>
        <v>0.547722557505166</v>
      </c>
      <c r="P84" s="250" t="n">
        <f aca="false">O10</f>
        <v>1</v>
      </c>
      <c r="Q84" s="250" t="n">
        <f aca="false">O11</f>
        <v>2</v>
      </c>
      <c r="R84" s="252" t="n">
        <f aca="false">F21</f>
        <v>0.27</v>
      </c>
      <c r="S84" s="250" t="n">
        <f aca="false">K11</f>
        <v>0</v>
      </c>
      <c r="T84" s="250" t="n">
        <f aca="false">K12</f>
        <v>2</v>
      </c>
      <c r="U84" s="250" t="n">
        <f aca="false">K13</f>
        <v>0</v>
      </c>
      <c r="V84" s="253" t="n">
        <f aca="false">K14</f>
        <v>1</v>
      </c>
      <c r="W84" s="254" t="n">
        <f aca="false">K15</f>
        <v>2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78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79</v>
      </c>
      <c r="Q87" s="9"/>
      <c r="R87" s="209" t="n">
        <f aca="false">VLOOKUP(MAX($R$23:$R$82),($R$23:$T$82),1,0)</f>
        <v>12</v>
      </c>
      <c r="S87" s="9"/>
      <c r="T87" s="9"/>
      <c r="U87" s="9"/>
    </row>
    <row r="88" customFormat="false" ht="12.75" hidden="true" customHeight="false" outlineLevel="0" collapsed="false">
      <c r="P88" s="9" t="s">
        <v>80</v>
      </c>
      <c r="Q88" s="9"/>
      <c r="R88" s="209" t="n">
        <f aca="false">VLOOKUP((R87),($R$23:$T$82),2,0)</f>
        <v>12</v>
      </c>
      <c r="S88" s="9"/>
      <c r="T88" s="9"/>
      <c r="U88" s="9"/>
    </row>
    <row r="89" customFormat="false" ht="12.75" hidden="true" customHeight="false" outlineLevel="0" collapsed="false">
      <c r="P89" s="9" t="s">
        <v>81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82</v>
      </c>
      <c r="Q90" s="9"/>
      <c r="R90" s="257" t="n">
        <f aca="false">IF(ISERROR(SUM($S$23:$S$82)/SUM($T$23:$T$82)),"",(SUM($S$23:$S$82)-R88)/(SUM($T$23:$T$82)-R89))</f>
        <v>10.3333333333333</v>
      </c>
      <c r="S90" s="9"/>
    </row>
    <row r="91" customFormat="false" ht="12.75" hidden="true" customHeight="false" outlineLevel="0" collapsed="false">
      <c r="P91" s="208" t="s">
        <v>83</v>
      </c>
      <c r="Q91" s="208"/>
      <c r="R91" s="208" t="str">
        <f aca="false">INDEX('[1]liste reference'!$A$7:$A$906,$S$91)</f>
        <v>CLA.SPX</v>
      </c>
      <c r="S91" s="9" t="n">
        <f aca="false">IF(ISERROR(MATCH($R$93,'[1]liste reference'!$A$7:$A$906,0)),MATCH($R$93,'[1]liste reference'!$B$7:$B$906,0),(MATCH($R$93,'[1]liste reference'!$A$7:$A$906,0)))</f>
        <v>24</v>
      </c>
      <c r="T91" s="245"/>
    </row>
    <row r="92" customFormat="false" ht="12.75" hidden="true" customHeight="false" outlineLevel="0" collapsed="false">
      <c r="P92" s="9" t="s">
        <v>84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85</v>
      </c>
      <c r="Q93" s="9"/>
      <c r="R93" s="208" t="str">
        <f aca="false">INDEX($A$23:$A$82,$R$92)</f>
        <v>CLA.SPX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2013-10-22T12:25:26Z</dcterms:created>
  <dc:creator>elise.carnet</dc:creator>
  <dc:description/>
  <dc:language>fr-FR</dc:language>
  <cp:lastModifiedBy>elise.carnet</cp:lastModifiedBy>
  <dcterms:modified xsi:type="dcterms:W3CDTF">2013-10-22T12:25:43Z</dcterms:modified>
  <cp:revision>0</cp:revision>
  <dc:subject/>
  <dc:title/>
</cp:coreProperties>
</file>