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200" sheetId="6" state="visible" r:id="rId8"/>
    <sheet name="modele" sheetId="7" state="hidden" r:id="rId9"/>
    <sheet name="liste codes réf" sheetId="8" state="hidden" r:id="rId10"/>
  </sheets>
  <definedNames>
    <definedName function="false" hidden="false" localSheetId="5" name="_xlnm.Print_Area" vbProcedure="false">'06213200'!$A$1:$O$82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'06213200'!$A$23:$J$84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<sst xmlns="http://schemas.openxmlformats.org/spreadsheetml/2006/main" count="7354" uniqueCount="2728">
  <si>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</si>
  <si>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</si>
  <si>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</si>
  <si>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</si>
  <si>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</si>
  <si>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</si>
  <si>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</si>
  <si>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</si>
  <si>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</si>
  <si>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</si>
  <si>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</si>
  <si>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</si>
  <si>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</si>
  <si>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</si>
  <si>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</si>
  <si>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</si>
  <si>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</si>
  <si>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</si>
  <si>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</si>
  <si>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</si>
  <si>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</si>
  <si>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</si>
  <si>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</si>
  <si>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</si>
  <si>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</si>
  <si>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</si>
  <si>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</si>
  <si>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</si>
  <si>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</si>
  <si>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</si>
  <si>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</si>
  <si>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</si>
  <si>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</si>
  <si>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</si>
  <si>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</si>
  <si>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</si>
  <si>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</si>
  <si>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</si>
  <si>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</si>
  <si>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</si>
  <si>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</si>
  <si>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</si>
  <si>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</si>
  <si>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</si>
  <si>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</si>
  <si>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</si>
  <si>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</si>
  <si>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</si>
  <si>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</si>
  <si>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</si>
  <si>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</si>
  <si>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</si>
  <si>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</si>
  <si>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</si>
  <si>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</si>
  <si>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</si>
  <si>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</si>
  <si>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</si>
  <si>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</si>
  <si>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</si>
  <si>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</si>
  <si>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</si>
  <si>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</si>
  <si>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</si>
  <si>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</si>
  <si>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</si>
  <si>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</si>
  <si>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</si>
  <si>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</si>
  <si>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</si>
  <si>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</si>
  <si>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</si>
  <si>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</si>
  <si>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</si>
  <si>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</si>
  <si>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</si>
  <si>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</si>
  <si>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</si>
  <si>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</si>
  <si>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</si>
  <si>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</si>
  <si>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</si>
  <si>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</si>
  <si>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</si>
  <si>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</si>
  <si>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</si>
  <si>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</si>
  <si>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</si>
  <si>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</si>
  <si>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</si>
  <si>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</si>
  <si>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</si>
  <si>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</si>
  <si>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</si>
  <si>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</si>
  <si>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</si>
  <si>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</si>
  <si>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</si>
  <si>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</si>
  <si>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</si>
  <si>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</si>
  <si>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</si>
  <si>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</si>
  <si>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</si>
  <si>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</si>
  <si>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</si>
  <si>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</si>
  <si>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</si>
  <si>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</si>
  <si>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</si>
  <si>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</si>
  <si>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</si>
  <si>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</si>
  <si>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</si>
  <si>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</si>
  <si>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</si>
  <si>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</si>
  <si>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</si>
  <si>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</si>
  <si>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</si>
  <si>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</si>
  <si>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</si>
  <si>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</si>
  <si>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</si>
  <si>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</si>
  <si>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</si>
  <si>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</si>
  <si>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</si>
  <si>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</si>
  <si>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</si>
  <si>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</si>
  <si>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</si>
  <si>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</si>
  <si>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</si>
  <si>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</si>
  <si>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</si>
  <si>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</si>
  <si>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</si>
  <si>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</si>
  <si>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</si>
  <si>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</si>
  <si>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</si>
  <si>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</si>
  <si>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</si>
  <si>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</si>
  <si>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</si>
  <si>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</si>
  <si>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</si>
  <si>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</si>
  <si>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</si>
  <si>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</si>
  <si>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</si>
  <si>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</si>
  <si>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</si>
  <si>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</si>
  <si>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</si>
  <si>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</si>
  <si>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</si>
  <si>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</si>
  <si>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</si>
  <si>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</si>
  <si>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</si>
  <si>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</si>
  <si>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</si>
  <si>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</si>
  <si>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</si>
  <si>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</si>
  <si>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</si>
  <si>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</si>
  <si>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</si>
  <si>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</si>
  <si>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</si>
  <si>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</si>
  <si>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</si>
  <si>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</si>
  <si>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</si>
  <si>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</si>
  <si>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</si>
  <si>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</si>
  <si>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</si>
  <si>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</si>
  <si>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</si>
  <si>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</si>
  <si>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</si>
  <si>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</si>
  <si>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</si>
  <si>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</si>
  <si>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</si>
  <si>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</si>
  <si>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</si>
  <si>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</si>
  <si>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</si>
  <si>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</si>
  <si>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</si>
  <si>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</si>
  <si>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</si>
  <si>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</si>
  <si>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</si>
  <si>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</si>
  <si>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</si>
  <si>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</si>
  <si>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</si>
  <si>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</si>
  <si>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</si>
  <si>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</si>
  <si>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</si>
  <si>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</si>
  <si>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</si>
  <si>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</si>
  <si>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</si>
  <si>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</si>
  <si>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</si>
  <si>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</si>
  <si>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</si>
  <si>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</si>
  <si>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</si>
  <si>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</si>
  <si>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</si>
  <si>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</si>
  <si>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</si>
  <si>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</si>
  <si>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</si>
  <si>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</si>
  <si>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</si>
  <si>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</si>
  <si>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</si>
  <si>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</si>
  <si>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</si>
  <si>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</si>
  <si>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</si>
  <si>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</si>
  <si>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</si>
  <si>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</si>
  <si>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</si>
  <si>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</si>
  <si>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</si>
  <si>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</si>
  <si>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</si>
  <si>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</si>
  <si>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</si>
  <si>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</si>
  <si>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</si>
  <si>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</si>
  <si>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</si>
  <si>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</si>
  <si>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</si>
  <si>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</si>
  <si>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</si>
  <si>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</si>
  <si>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</si>
  <si>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</si>
  <si>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</si>
  <si>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</si>
  <si>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</si>
  <si>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</si>
  <si>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</si>
  <si>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</si>
  <si>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</si>
  <si>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</si>
  <si>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</si>
  <si>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</si>
  <si>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</si>
  <si>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</si>
  <si>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</si>
  <si>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</si>
  <si>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</si>
  <si>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</si>
  <si>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</si>
  <si>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</si>
  <si>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</si>
  <si>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</si>
  <si>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</si>
  <si>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</si>
  <si>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</si>
  <si>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</si>
  <si>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</si>
  <si>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</si>
  <si>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</si>
  <si>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</si>
  <si>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</si>
  <si>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</si>
  <si>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</si>
  <si>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</si>
  <si>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</si>
  <si>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</si>
  <si>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</si>
  <si>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</si>
  <si>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</si>
  <si>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</si>
  <si>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</si>
  <si>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</si>
  <si>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</si>
  <si>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</si>
  <si>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</si>
  <si>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</si>
  <si>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</si>
  <si>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</si>
  <si>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</si>
  <si>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</si>
  <si>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</si>
  <si>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</si>
  <si>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</si>
  <si>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</si>
  <si>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</si>
  <si>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</si>
  <si>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</si>
  <si>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</si>
  <si>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</si>
  <si>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</si>
  <si>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</si>
  <si>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</si>
  <si>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</si>
  <si>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</si>
  <si>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</si>
  <si>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</si>
  <si>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</si>
  <si>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</si>
  <si>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</si>
  <si>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</si>
  <si>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</si>
  <si>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</si>
  <si>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</si>
  <si>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</si>
  <si>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</si>
  <si>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</si>
  <si>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</si>
  <si>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</si>
  <si>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</si>
  <si>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</si>
  <si>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</si>
  <si>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</si>
  <si>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</si>
  <si>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</si>
  <si>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</si>
  <si>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</si>
  <si>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</si>
  <si>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</si>
  <si>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</si>
  <si>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</si>
  <si>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</si>
  <si>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</si>
  <si>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</si>
  <si>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</si>
  <si>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</si>
  <si>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</si>
  <si>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</si>
  <si>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</si>
  <si>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</si>
  <si>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</si>
  <si>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</si>
  <si>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</si>
  <si>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</si>
  <si>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</si>
  <si>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</si>
  <si>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</si>
  <si>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</si>
  <si>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</si>
  <si>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</si>
  <si>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</si>
  <si>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</si>
  <si>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</si>
  <si>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</si>
  <si>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</si>
  <si>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</si>
  <si>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</si>
  <si>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</si>
  <si>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</si>
  <si>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</si>
  <si>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</si>
  <si>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</si>
  <si>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</si>
  <si>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</si>
  <si>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</si>
  <si>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</si>
  <si>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</si>
  <si>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</si>
  <si>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</si>
  <si>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</si>
  <si>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</si>
  <si>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</si>
  <si>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</si>
  <si>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</si>
  <si>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</si>
  <si>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</si>
  <si>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</si>
  <si>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</si>
  <si>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</si>
  <si>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</si>
  <si>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</si>
  <si>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</si>
  <si>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</si>
  <si>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</si>
  <si>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</si>
  <si>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</si>
  <si>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</si>
  <si>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</si>
  <si>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</si>
  <si>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</si>
  <si>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</si>
  <si>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</si>
  <si>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</si>
  <si>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</si>
  <si>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</si>
  <si>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</si>
  <si>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</si>
  <si>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</si>
  <si>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</si>
  <si>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</si>
  <si>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</si>
  <si>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</si>
  <si>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</si>
  <si>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</si>
  <si>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</si>
  <si>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</si>
  <si>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</si>
  <si>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</si>
  <si>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</si>
  <si>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</si>
  <si>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</si>
  <si>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</si>
  <si>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</si>
  <si>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</si>
  <si>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</si>
  <si>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</si>
  <si>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</si>
  <si>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</si>
  <si>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</si>
  <si>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</si>
  <si>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</si>
  <si>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</si>
  <si>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</si>
  <si>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</si>
  <si>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</si>
  <si>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</si>
  <si>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</si>
  <si>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</si>
  <si>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</si>
  <si>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</si>
  <si>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</si>
  <si>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</si>
  <si>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</si>
  <si>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</si>
  <si>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</si>
  <si>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</si>
  <si>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</si>
  <si>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</si>
  <si>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</si>
  <si>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</si>
  <si>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</si>
  <si>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</si>
  <si>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</si>
  <si>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</si>
  <si>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</si>
  <si>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</si>
  <si>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</si>
  <si>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</si>
  <si>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</si>
  <si>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</si>
  <si>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</si>
  <si>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</si>
  <si>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</si>
  <si>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</si>
  <si>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</si>
  <si>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</si>
  <si>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</si>
  <si>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</si>
  <si>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</si>
  <si>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</si>
  <si>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</si>
  <si>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</si>
  <si>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</si>
  <si>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</si>
  <si>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</si>
  <si>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</si>
  <si>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</si>
  <si>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</si>
  <si>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</si>
  <si>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</si>
  <si>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</si>
  <si>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</si>
  <si>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</si>
  <si>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</si>
  <si>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</si>
  <si>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</si>
  <si>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</si>
  <si>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</si>
  <si>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</si>
  <si>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</si>
  <si>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</si>
  <si>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</si>
  <si>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</si>
  <si>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</si>
  <si>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</si>
  <si>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</si>
  <si>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</si>
  <si>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</si>
  <si>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</si>
  <si>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</si>
  <si>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</si>
  <si>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</si>
  <si>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</si>
  <si>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</si>
  <si>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</si>
  <si>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</si>
  <si>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</si>
  <si>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</si>
  <si>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</si>
  <si>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</si>
  <si>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</si>
  <si>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</si>
  <si>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</si>
  <si>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</si>
  <si>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</si>
  <si>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</si>
  <si>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</si>
  <si>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</si>
  <si>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</si>
  <si>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</si>
  <si>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</si>
  <si>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</si>
  <si>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</si>
  <si>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</si>
  <si>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</si>
  <si>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</si>
  <si>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</si>
  <si>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</si>
  <si>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</si>
  <si>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</si>
  <si>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</si>
  <si>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</si>
  <si>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</si>
  <si>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</si>
  <si>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</si>
  <si>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</si>
  <si>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</si>
  <si>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</si>
  <si>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</si>
  <si>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</si>
  <si>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</si>
  <si>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</si>
  <si>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</si>
  <si>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</si>
  <si>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</si>
  <si>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</si>
  <si>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</si>
  <si>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</si>
  <si>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</si>
  <si>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</si>
  <si>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</si>
  <si>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</si>
  <si>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</si>
  <si>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</si>
  <si>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</si>
  <si>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</si>
  <si>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</si>
  <si>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</si>
  <si>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</si>
  <si>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</si>
  <si>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</si>
  <si>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</si>
  <si>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</si>
  <si>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</si>
  <si>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</si>
  <si>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</si>
  <si>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</si>
  <si>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</si>
  <si>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</si>
  <si>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</si>
  <si>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</si>
  <si>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</si>
  <si>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</si>
  <si>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</si>
  <si>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</si>
  <si>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</si>
  <si>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</si>
  <si>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</si>
  <si>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</si>
  <si>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</si>
  <si>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</si>
  <si>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</si>
  <si>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</si>
  <si>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</si>
  <si>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</si>
  <si>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</si>
  <si>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</si>
  <si>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</si>
  <si>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</si>
  <si>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</si>
  <si>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</si>
  <si>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</si>
  <si>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</si>
  <si>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</si>
  <si>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</si>
  <si>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</si>
  <si>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</si>
  <si>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</si>
  <si>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</si>
  <si>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</si>
  <si>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</si>
  <si>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</si>
  <si>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</si>
  <si>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</si>
  <si>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</si>
  <si>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</si>
  <si>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</si>
  <si>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</si>
  <si>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</si>
  <si>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</si>
  <si>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</si>
  <si>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</si>
  <si>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</si>
  <si>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</si>
  <si>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</si>
  <si>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</si>
  <si>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</si>
  <si>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</si>
  <si>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</si>
  <si>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</si>
  <si>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</si>
  <si>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</si>
  <si>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</si>
  <si>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</si>
  <si>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</si>
  <si>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</si>
  <si>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</si>
  <si>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</si>
  <si>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</si>
  <si>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</si>
  <si>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</si>
  <si>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</si>
  <si>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</si>
  <si>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</si>
  <si>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</si>
  <si>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</si>
  <si>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</si>
  <si>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</si>
  <si>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</si>
  <si>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</si>
  <si>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</si>
  <si>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</si>
  <si>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</si>
  <si>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</si>
  <si>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</si>
  <si>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</si>
  <si>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</si>
  <si>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</si>
  <si>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</si>
  <si>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</si>
  <si>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</si>
  <si>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</si>
  <si>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</si>
  <si>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</si>
  <si>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</si>
  <si>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</si>
  <si>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</si>
  <si>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</si>
  <si>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</si>
  <si>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</si>
  <si>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</si>
  <si>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</si>
  <si>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</si>
  <si>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</si>
  <si>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</si>
  <si>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</si>
  <si>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</si>
  <si>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</si>
  <si>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</si>
  <si>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</si>
  <si>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</si>
  <si>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</si>
  <si>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</si>
  <si>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</si>
  <si>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</si>
  <si>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</si>
  <si>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</si>
  <si>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</si>
  <si>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</si>
  <si>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</si>
  <si>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</si>
  <si>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</si>
  <si>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</si>
  <si>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</si>
  <si>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</si>
  <si>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</si>
  <si>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</si>
  <si>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</si>
  <si>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</si>
  <si>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</si>
  <si>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</si>
  <si>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</si>
  <si>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</si>
  <si>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</si>
  <si>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</si>
  <si>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</si>
  <si>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</si>
  <si>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</si>
  <si>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</si>
  <si>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</si>
  <si>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</si>
  <si>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</si>
  <si>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</si>
  <si>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</si>
  <si>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</si>
  <si>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</si>
  <si>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</si>
  <si>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</si>
  <si>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</si>
  <si>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</si>
  <si>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</si>
  <si>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</si>
  <si>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</si>
  <si>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</si>
  <si>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</si>
  <si>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</si>
  <si>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</si>
  <si>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</si>
  <si>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</si>
  <si>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</si>
  <si>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</si>
  <si>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</si>
  <si>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</si>
  <si>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</si>
  <si>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</si>
  <si>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</si>
  <si>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</si>
  <si>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</si>
  <si>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</si>
  <si>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</si>
  <si>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</si>
  <si>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</si>
  <si>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</si>
  <si>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</si>
  <si>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</si>
  <si>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</si>
  <si>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</si>
  <si>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</si>
  <si>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</si>
  <si>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</si>
  <si>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</si>
  <si>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</si>
  <si>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</si>
  <si>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</si>
  <si>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</si>
  <si>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</si>
  <si>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</si>
  <si>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</si>
  <si>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</si>
  <si>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</si>
  <si>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</si>
  <si>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</si>
  <si>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</si>
  <si>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</si>
  <si>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</si>
  <si>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</si>
  <si>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</si>
  <si>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</si>
  <si>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</si>
  <si>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</si>
  <si>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</si>
  <si>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</si>
  <si>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</si>
  <si>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</si>
  <si>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</si>
  <si>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</si>
  <si>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</si>
  <si>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</si>
  <si>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</si>
  <si>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</si>
  <si>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</si>
  <si>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</si>
  <si>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</si>
  <si>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</si>
  <si>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</si>
  <si>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</si>
  <si>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</si>
  <si>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</si>
  <si>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</si>
  <si>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</si>
  <si>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</si>
  <si>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</si>
  <si>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</si>
  <si>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</si>
  <si>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</si>
  <si>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</si>
  <si>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</si>
  <si>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</si>
  <si>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</si>
  <si>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</si>
  <si>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</si>
  <si>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</si>
  <si>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</si>
  <si>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</si>
  <si>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</si>
  <si>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</si>
  <si>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</si>
  <si>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</si>
  <si>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</si>
  <si>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</si>
  <si>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</si>
  <si>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</si>
  <si>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</si>
  <si>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</si>
  <si>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</si>
  <si>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</si>
  <si>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</si>
  <si>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</si>
  <si>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</si>
  <si>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</si>
  <si>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</si>
  <si>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</si>
  <si>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</si>
  <si>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</si>
  <si>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</si>
  <si>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</si>
  <si>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</si>
  <si>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</si>
  <si>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</si>
  <si>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</si>
  <si>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</si>
  <si>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</si>
  <si>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</si>
  <si>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</si>
  <si>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</si>
  <si>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</si>
  <si>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</si>
  <si>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</si>
  <si>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</si>
  <si>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</si>
  <si>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</si>
  <si>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</si>
  <si>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</si>
  <si>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</si>
  <si>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</si>
  <si>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</si>
  <si>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</si>
  <si>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</si>
  <si>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</si>
  <si>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</si>
  <si>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</si>
  <si>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</si>
  <si>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</si>
  <si>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</si>
  <si>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</si>
  <si>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</si>
  <si>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</si>
  <si>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</si>
  <si>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</si>
  <si>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</si>
  <si>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</si>
  <si>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</si>
  <si>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</si>
  <si>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</si>
  <si>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</si>
  <si>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</si>
  <si>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</si>
  <si>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</si>
  <si>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</si>
  <si>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</si>
  <si>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</si>
  <si>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</si>
  <si>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</si>
  <si>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</si>
  <si>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</si>
  <si>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</si>
  <si>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</si>
  <si>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</si>
  <si>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</si>
  <si>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</si>
  <si>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</si>
  <si>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</si>
  <si>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</si>
  <si>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</si>
  <si>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</si>
  <si>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</si>
  <si>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</si>
  <si>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</si>
  <si>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</si>
  <si>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</si>
  <si>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</si>
  <si>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</si>
  <si>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</si>
  <si>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</si>
  <si>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</si>
  <si>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</si>
  <si>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</si>
  <si>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</si>
  <si>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</si>
  <si>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</si>
  <si>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</si>
  <si>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</si>
  <si>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</si>
  <si>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</si>
  <si>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</si>
  <si>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</si>
  <si>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</si>
  <si>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</si>
  <si>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</si>
  <si>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</si>
  <si>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</si>
  <si>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</si>
  <si>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</si>
  <si>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</si>
  <si>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</si>
  <si>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</si>
  <si>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</si>
  <si>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</si>
  <si>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</si>
  <si>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</si>
  <si>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</si>
  <si>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</si>
  <si>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</si>
  <si>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</si>
  <si>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</si>
  <si>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</si>
  <si>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</si>
  <si>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</si>
  <si>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</si>
  <si>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</si>
  <si>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</si>
  <si>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</si>
  <si>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</si>
  <si>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</si>
  <si>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</si>
  <si>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</si>
  <si>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</si>
  <si>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</si>
  <si>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</si>
  <si>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</si>
  <si>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</si>
  <si>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</si>
  <si>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</si>
  <si>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</si>
  <si>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</si>
  <si>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</si>
  <si>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</si>
  <si>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</si>
  <si>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</si>
  <si>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</si>
  <si>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</si>
  <si>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</si>
  <si>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</si>
  <si>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</si>
  <si>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</si>
  <si>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</si>
  <si>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</si>
  <si>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</si>
  <si>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</si>
  <si>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</si>
  <si>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</si>
  <si>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</si>
  <si>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</si>
  <si>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</si>
  <si>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</si>
  <si>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</si>
  <si>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</si>
  <si>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</si>
  <si>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</si>
  <si>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</si>
  <si>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</si>
  <si>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</si>
  <si>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</si>
  <si>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</si>
  <si>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</si>
  <si>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</si>
  <si>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</si>
  <si>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</si>
  <si>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</si>
  <si>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</si>
  <si>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</si>
  <si>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</si>
  <si>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</si>
  <si>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</si>
  <si>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</si>
  <si>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</si>
  <si>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</si>
  <si>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</si>
  <si>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</si>
  <si>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</si>
  <si>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</si>
  <si>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</si>
  <si>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</si>
  <si>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</si>
  <si>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</si>
  <si>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</si>
  <si>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</si>
  <si>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</si>
  <si>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</si>
  <si>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</si>
  <si>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</si>
  <si>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</si>
  <si>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</si>
  <si>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</si>
  <si>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</si>
  <si>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</si>
  <si>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</si>
  <si>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</si>
  <si>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</si>
  <si>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</si>
  <si>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</si>
  <si>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</si>
  <si>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</si>
  <si>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</si>
  <si>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</si>
  <si>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</si>
  <si>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</si>
  <si>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</si>
  <si>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</si>
  <si>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</si>
  <si>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</si>
  <si>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</si>
  <si>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</si>
  <si>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</si>
  <si>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</si>
  <si>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</si>
  <si>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</si>
  <si>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</si>
  <si>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</si>
  <si>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</si>
  <si>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</si>
  <si>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</si>
  <si>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</si>
  <si>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</si>
  <si>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</si>
  <si>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</si>
  <si>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</si>
  <si>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</si>
  <si>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</si>
  <si>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</si>
  <si>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</si>
  <si>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</si>
  <si>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</si>
  <si>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</si>
  <si>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</si>
  <si>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</si>
  <si>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</si>
  <si>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</si>
  <si>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</si>
  <si>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</si>
  <si>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</si>
  <si>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</si>
  <si>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</si>
  <si>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</si>
  <si>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</si>
  <si>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</si>
  <si>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</si>
  <si>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</si>
  <si>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</si>
  <si>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</si>
  <si>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</si>
  <si>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</si>
  <si>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</si>
  <si>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</si>
  <si>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</si>
  <si>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</si>
  <si>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</si>
  <si>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</si>
  <si>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</si>
  <si>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</si>
  <si>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</si>
  <si>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</si>
  <si>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</si>
  <si>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</si>
  <si>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</si>
  <si>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</si>
  <si>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</si>
  <si>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</si>
  <si>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</si>
  <si>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</si>
  <si>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</si>
  <si>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</si>
  <si>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</si>
  <si>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</si>
  <si>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</si>
  <si>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</si>
  <si>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</si>
  <si>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</si>
  <si>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</si>
  <si>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</si>
  <si>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</si>
  <si>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</si>
  <si>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</si>
  <si>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</si>
  <si>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</si>
  <si>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</si>
  <si>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</si>
  <si>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</si>
  <si>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</si>
  <si>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</si>
  <si>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</si>
  <si>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</si>
  <si>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</si>
  <si>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</si>
  <si>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</si>
  <si>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</si>
  <si>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</si>
  <si>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</si>
  <si>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</si>
  <si>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</si>
  <si>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</si>
  <si>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</si>
  <si>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</si>
  <si>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</si>
  <si>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</si>
  <si>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</si>
  <si>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</si>
  <si>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</si>
  <si>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</si>
  <si>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</si>
  <si>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</si>
  <si>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</si>
  <si>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</si>
  <si>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</si>
  <si>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</si>
  <si>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</si>
  <si>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</si>
  <si>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</si>
  <si>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</si>
  <si>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</si>
  <si>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</si>
  <si>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</si>
  <si>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</si>
  <si>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</si>
  <si>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</si>
  <si>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</si>
  <si>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</si>
  <si>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</si>
  <si>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</si>
  <si>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</si>
  <si>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</si>
  <si>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</si>
  <si>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</si>
  <si>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</si>
  <si>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</si>
  <si>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</si>
  <si>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</si>
  <si>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</si>
  <si>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</si>
  <si>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</si>
  <si>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</si>
  <si>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</si>
  <si>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</si>
  <si>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</si>
  <si>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</si>
  <si>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</si>
  <si>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</si>
  <si>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</si>
  <si>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</si>
  <si>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</si>
  <si>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</si>
  <si>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</si>
  <si>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</si>
  <si>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</si>
  <si>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</si>
  <si>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</si>
  <si>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</si>
  <si>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</si>
  <si>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</si>
  <si>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</si>
  <si>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</si>
  <si>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</si>
  <si>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</si>
  <si>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</si>
  <si>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</si>
  <si>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</si>
  <si>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</si>
  <si>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</si>
  <si>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</si>
  <si>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</si>
  <si>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</si>
  <si>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</si>
  <si>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</si>
  <si>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</si>
  <si>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</si>
  <si>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</si>
  <si>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</si>
  <si>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</si>
  <si>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</si>
  <si>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</si>
  <si>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</si>
  <si>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</si>
  <si>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</si>
  <si>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</si>
  <si>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</si>
  <si>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</si>
  <si>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</si>
  <si>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</si>
  <si>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</si>
  <si>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</si>
  <si>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</si>
  <si>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</si>
  <si>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</si>
  <si>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</si>
  <si>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</si>
  <si>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</si>
  <si>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</si>
  <si>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</si>
  <si>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</si>
  <si>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</si>
  <si>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</si>
  <si>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</si>
  <si>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</si>
  <si>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</si>
  <si>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</si>
  <si>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</si>
  <si>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</si>
  <si>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</si>
  <si>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</si>
  <si>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</si>
  <si>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</si>
  <si>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</si>
  <si>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</si>
  <si>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</si>
  <si>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</si>
  <si>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</si>
  <si>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</si>
  <si>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</si>
  <si>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</si>
  <si>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</si>
  <si>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</si>
  <si>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</si>
  <si>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</si>
  <si>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</si>
  <si>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</si>
  <si>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</si>
  <si>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</si>
  <si>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</si>
  <si>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</si>
  <si>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</si>
  <si>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</si>
  <si>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</si>
  <si>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</si>
  <si>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</si>
  <si>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</si>
  <si>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</si>
  <si>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</si>
  <si>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</si>
  <si>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</si>
  <si>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</si>
  <si>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</si>
  <si>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</si>
  <si>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</si>
  <si>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</si>
  <si>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</si>
  <si>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</si>
  <si>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</si>
  <si>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</si>
  <si>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</si>
  <si>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</si>
  <si>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</si>
  <si>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</si>
  <si>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</si>
  <si>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</si>
  <si>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</si>
  <si>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</si>
  <si>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</si>
  <si>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</si>
  <si>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</si>
  <si>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</si>
  <si>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</si>
  <si>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</si>
  <si>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</si>
  <si>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</si>
  <si>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</si>
  <si>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</si>
  <si>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</si>
  <si>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</si>
  <si>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</si>
  <si>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</si>
  <si>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</si>
  <si>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</si>
  <si>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</si>
  <si>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</si>
  <si>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</si>
  <si>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</si>
  <si>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</si>
  <si>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</si>
  <si>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</si>
  <si>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</si>
  <si>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</si>
  <si>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</si>
  <si>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</si>
  <si>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</si>
  <si>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</si>
  <si>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</si>
  <si>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</si>
  <si>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</si>
  <si>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</si>
  <si>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</si>
  <si>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</si>
  <si>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</si>
  <si>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</si>
  <si>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</si>
  <si>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</si>
  <si>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</si>
  <si>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</si>
  <si>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</si>
  <si>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</si>
  <si>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</si>
  <si>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</si>
  <si>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</si>
  <si>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</si>
  <si>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</si>
  <si>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</si>
  <si>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</si>
  <si>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</si>
  <si>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</si>
  <si>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</si>
  <si>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</si>
  <si>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</si>
  <si>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</si>
  <si>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</si>
  <si>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</si>
  <si>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</si>
  <si>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</si>
  <si>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</si>
  <si>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</si>
  <si>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</si>
  <si>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</si>
  <si>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</si>
  <si>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</si>
  <si>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</si>
  <si>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</si>
  <si>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</si>
  <si>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</si>
  <si>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</si>
  <si>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</si>
  <si>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</si>
  <si>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</si>
  <si>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</si>
  <si>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</si>
  <si>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</si>
  <si>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</si>
  <si>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</si>
  <si>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</si>
  <si>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</si>
  <si>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</si>
  <si>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</si>
  <si>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</si>
  <si>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</si>
  <si>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</si>
  <si>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</si>
  <si>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</si>
  <si>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</si>
  <si>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</si>
  <si>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</si>
  <si>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</si>
  <si>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</si>
  <si>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</si>
  <si>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</si>
  <si>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</si>
  <si>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</si>
  <si>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</si>
  <si>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</si>
  <si>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</si>
  <si>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</si>
  <si>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</si>
  <si>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</si>
  <si>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</si>
  <si>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</si>
  <si>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</si>
  <si>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</si>
  <si>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</si>
  <si>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</si>
  <si>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</si>
  <si>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</si>
  <si>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</si>
  <si>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</si>
  <si>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</si>
  <si>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</si>
  <si>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</si>
  <si>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</si>
  <si>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</si>
  <si>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</si>
  <si>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</si>
  <si>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</si>
  <si>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</si>
  <si>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</si>
  <si>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</si>
  <si>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</si>
  <si>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</si>
  <si>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</si>
  <si>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</si>
  <si>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</si>
  <si>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</si>
  <si>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</si>
  <si>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</si>
  <si>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</si>
  <si>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</si>
  <si>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</si>
  <si>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</si>
  <si>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</si>
  <si>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</si>
  <si>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</si>
  <si>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</si>
  <si>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</si>
  <si>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</si>
  <si>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</si>
  <si>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</si>
  <si>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</si>
  <si>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</si>
  <si>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</si>
  <si>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</si>
  <si>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</si>
  <si>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</si>
  <si>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</si>
  <si>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</si>
  <si>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</si>
  <si>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</si>
  <si>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</si>
  <si>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</si>
  <si>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</si>
  <si>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</si>
  <si>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</si>
  <si>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</si>
  <si>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</si>
  <si>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</si>
  <si>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</si>
  <si>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</si>
  <si>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</si>
  <si>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</si>
  <si>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</si>
  <si>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</si>
  <si>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</si>
  <si>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</si>
  <si>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</si>
  <si>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</si>
  <si>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</si>
  <si>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</si>
  <si>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</si>
  <si>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</si>
  <si>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</si>
  <si>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</si>
  <si>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</si>
  <si>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</si>
  <si>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</si>
  <si>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</si>
  <si>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</si>
  <si>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</si>
  <si>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</si>
  <si>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</si>
  <si>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</si>
  <si>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</si>
  <si>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</si>
  <si>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</si>
  <si>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</si>
  <si>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</si>
  <si>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</si>
  <si>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</si>
  <si>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</si>
  <si>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</si>
  <si>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</si>
  <si>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</si>
  <si>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</si>
  <si>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</si>
  <si>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</si>
  <si>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</si>
  <si>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</si>
  <si>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</si>
  <si>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</si>
  <si>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</si>
  <si>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</si>
  <si>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</si>
  <si>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</si>
  <si>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</si>
  <si>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</si>
  <si>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</si>
  <si>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</si>
  <si>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</si>
  <si>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</si>
  <si>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</si>
  <si>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</si>
  <si>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</si>
  <si>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</si>
  <si>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</si>
  <si>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</si>
  <si>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</si>
  <si>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</si>
  <si>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</si>
  <si>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</si>
  <si>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</si>
  <si>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</si>
  <si>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</si>
  <si>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</si>
  <si>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</si>
  <si>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</si>
  <si>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</si>
  <si>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</si>
  <si>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</si>
  <si>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</si>
  <si>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</si>
  <si>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</si>
  <si>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</si>
  <si>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</si>
  <si>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</si>
  <si>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</si>
  <si>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</si>
  <si>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</si>
  <si>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</si>
  <si>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</si>
  <si>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</si>
  <si>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</si>
  <si>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</si>
  <si>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</si>
  <si>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</si>
  <si>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</si>
  <si>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</si>
  <si>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</si>
  <si>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</si>
  <si>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</si>
  <si>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</si>
  <si>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</si>
  <si>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</si>
  <si>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</si>
  <si>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</si>
  <si>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</si>
  <si>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</si>
  <si>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</si>
  <si>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</si>
  <si>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</si>
  <si>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</si>
  <si>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</si>
  <si>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</si>
  <si>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</si>
  <si>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</si>
  <si>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</si>
  <si>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</si>
  <si>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</si>
  <si>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</si>
  <si>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</si>
  <si>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</si>
  <si>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</si>
  <si>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</si>
  <si>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</si>
  <si>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</si>
  <si>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</si>
  <si>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</si>
  <si>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</si>
  <si>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</si>
  <si>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</si>
  <si>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</si>
  <si>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</si>
  <si>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</si>
  <si>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</si>
  <si>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</si>
  <si>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</si>
  <si>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</si>
  <si>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</si>
  <si>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</si>
  <si>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</si>
  <si>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</si>
  <si>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</si>
  <si>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</si>
  <si>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</si>
  <si>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</si>
  <si>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</si>
  <si>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</si>
  <si>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</si>
  <si>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</si>
  <si>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</si>
  <si>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</si>
  <si>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</si>
  <si>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</si>
  <si>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</si>
  <si>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</si>
  <si>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</si>
  <si>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</si>
  <si>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</si>
  <si>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</si>
  <si>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</si>
  <si>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</si>
  <si>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</si>
  <si>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</si>
  <si>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</si>
  <si>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</si>
  <si>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</si>
  <si>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</si>
  <si>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</si>
  <si>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</si>
  <si>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</si>
  <si>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</si>
  <si>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</si>
  <si>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</si>
  <si>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</si>
  <si>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</si>
  <si>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</si>
  <si>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</si>
  <si>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</si>
  <si>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</si>
  <si>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</si>
  <si>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</si>
  <si>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</si>
  <si>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</si>
  <si>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</si>
  <si>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</si>
  <si>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</si>
  <si>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</si>
  <si>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</si>
  <si>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</si>
  <si>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</si>
  <si>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</si>
  <si>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</si>
  <si>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</si>
  <si>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</si>
  <si>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</si>
  <si>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</si>
  <si>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</si>
  <si>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</si>
  <si>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</si>
  <si>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</si>
  <si>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</si>
  <si>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</si>
  <si>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</si>
  <si>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</si>
  <si>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</si>
  <si>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</si>
  <si>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</si>
  <si>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</si>
  <si>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</si>
  <si>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</si>
  <si>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</si>
  <si>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</si>
  <si>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</si>
  <si>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</si>
  <si>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</si>
  <si>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</si>
  <si>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</si>
  <si>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</si>
  <si>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</si>
  <si>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</si>
  <si>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</si>
  <si>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</si>
  <si>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</si>
  <si>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</si>
  <si>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</si>
  <si>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</si>
  <si>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</si>
  <si>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</si>
  <si>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</si>
  <si>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</si>
  <si>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</si>
  <si>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</si>
  <si>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</si>
  <si>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</si>
  <si>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</si>
  <si>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</si>
  <si>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</si>
  <si>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</si>
  <si>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</si>
  <si>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</si>
  <si>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</si>
  <si>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</si>
  <si>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</si>
  <si>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</si>
  <si>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</si>
  <si>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</si>
  <si>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</si>
  <si>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</si>
  <si>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</si>
  <si>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</si>
  <si>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</si>
  <si>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</si>
  <si>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</si>
  <si>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</si>
  <si>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</si>
  <si>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</si>
  <si>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</si>
  <si>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</si>
  <si>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</si>
  <si>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</si>
  <si>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</si>
  <si>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</si>
  <si>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</si>
  <si>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</si>
  <si>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</si>
  <si>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</si>
  <si>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</si>
  <si>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</si>
  <si>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</si>
  <si>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</si>
  <si>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</si>
  <si>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</si>
  <si>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</si>
  <si>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</si>
  <si>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</si>
  <si>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</si>
  <si>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</si>
  <si>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</si>
  <si>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</si>
  <si>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</si>
  <si>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</si>
  <si>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</si>
  <si>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</si>
  <si>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</si>
  <si>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</si>
  <si>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</si>
  <si>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</si>
  <si>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</si>
  <si>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</si>
  <si>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</si>
  <si>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</si>
  <si>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</si>
  <si>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</si>
  <si>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</si>
  <si>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</si>
  <si>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</si>
  <si>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</si>
  <si>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</si>
  <si>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</si>
  <si>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</si>
  <si>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</si>
  <si>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</si>
  <si>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</si>
  <si>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</si>
  <si>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</si>
  <si>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</si>
  <si>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</si>
  <si>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</si>
  <si>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</si>
  <si>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</si>
  <si>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</si>
  <si>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</si>
  <si>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</si>
  <si>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</si>
  <si>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</si>
  <si>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</si>
  <si>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</si>
  <si>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</si>
  <si>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</si>
  <si>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</si>
  <si>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</si>
  <si>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</si>
  <si>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</si>
  <si>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</si>
  <si>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</si>
  <si>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</si>
  <si>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</si>
  <si>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</si>
  <si>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</si>
  <si>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</si>
  <si>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</si>
  <si>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</si>
  <si>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</si>
  <si>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</si>
  <si>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</si>
  <si>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</si>
  <si>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</si>
  <si>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</si>
  <si>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</si>
  <si>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</si>
  <si>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</si>
  <si>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</si>
  <si>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</si>
  <si>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</si>
  <si>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</si>
  <si>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</si>
  <si>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</si>
  <si>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</si>
  <si>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</si>
  <si>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</si>
  <si>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</si>
  <si>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</si>
  <si>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</si>
  <si>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</si>
  <si>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</si>
  <si>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</si>
  <si>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</si>
  <si>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</si>
  <si>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</si>
  <si>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</si>
  <si>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</si>
  <si>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</si>
  <si>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</si>
  <si>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</si>
  <si>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</si>
  <si>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</si>
  <si>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</si>
  <si>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</si>
  <si>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</si>
  <si>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</si>
  <si>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</si>
  <si>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</si>
  <si>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</si>
  <si>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</si>
  <si>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</si>
  <si>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</si>
  <si>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</si>
  <si>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</si>
  <si>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</si>
  <si>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</si>
  <si>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</si>
  <si>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</si>
  <si>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</si>
  <si>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</si>
  <si>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</si>
  <si>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</si>
  <si>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</si>
  <si>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</si>
  <si>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</si>
  <si>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</si>
  <si>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</si>
  <si>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</si>
  <si>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</si>
  <si>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</si>
  <si>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</si>
  <si>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</si>
  <si>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</si>
  <si>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</si>
  <si>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</si>
  <si>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</si>
  <si>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</si>
  <si>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</si>
  <si>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</si>
  <si>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</si>
  <si>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</si>
  <si>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</si>
  <si>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</si>
  <si>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</si>
  <si>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</si>
  <si>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</si>
  <si>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</si>
  <si>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</si>
  <si>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</si>
  <si>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</si>
  <si>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</si>
  <si>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</si>
  <si>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</si>
  <si>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</si>
  <si>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</si>
  <si>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</si>
  <si>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</si>
  <si>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</si>
  <si>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</si>
  <si>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</si>
  <si>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</si>
  <si>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</si>
  <si>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</si>
  <si>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</si>
  <si>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</si>
  <si>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</si>
  <si>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</si>
  <si>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</si>
  <si>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</si>
  <si>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</si>
  <si>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</si>
  <si>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</si>
  <si>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</si>
  <si>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</si>
  <si>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</si>
  <si>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</si>
  <si>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</si>
  <si>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</si>
  <si>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</si>
  <si>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</si>
  <si>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</si>
  <si>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</si>
  <si>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</si>
  <si>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</si>
  <si>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</si>
  <si>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</si>
  <si>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</si>
  <si>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</si>
  <si>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</si>
  <si>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</si>
  <si>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</si>
  <si>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</si>
  <si>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</si>
  <si>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</si>
  <si>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</si>
  <si>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</si>
  <si>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</si>
  <si>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</si>
  <si>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</si>
  <si>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</si>
  <si>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</si>
  <si>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</si>
  <si>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</si>
  <si>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</si>
  <si>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</si>
  <si>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</si>
  <si>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</si>
  <si>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</si>
  <si>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</si>
  <si>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</si>
  <si>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</si>
  <si>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</si>
  <si>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</si>
  <si>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</si>
  <si>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</si>
  <si>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</si>
  <si>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</si>
  <si>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</si>
  <si>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</si>
  <si>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</si>
  <si>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</si>
  <si>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</si>
  <si>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</si>
  <si>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</si>
  <si>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</si>
  <si>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</si>
  <si>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</si>
  <si>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</si>
  <si>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</si>
  <si>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</si>
  <si>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</si>
  <si>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</si>
  <si>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</si>
  <si>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</si>
  <si>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</si>
  <si>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</si>
  <si>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</si>
  <si>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</si>
  <si>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</si>
  <si>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</si>
  <si>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</si>
  <si>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</si>
  <si>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</si>
  <si>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</si>
  <si>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</si>
  <si>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</si>
  <si>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</si>
  <si>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</si>
  <si>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</si>
  <si>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</si>
  <si>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</si>
  <si>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</si>
  <si>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</si>
  <si>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</si>
  <si>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</si>
  <si>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</si>
  <si>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</si>
  <si>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</si>
  <si>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</si>
  <si>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</si>
  <si>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</si>
  <si>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</si>
  <si>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</si>
  <si>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</si>
  <si>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</si>
  <si>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</si>
  <si>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</si>
  <si>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</si>
  <si>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</si>
  <si>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</si>
  <si>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</si>
  <si>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</si>
  <si>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</si>
  <si>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</si>
  <si>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</si>
  <si>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</si>
  <si>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</si>
  <si>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</si>
  <si>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</si>
  <si>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</si>
  <si>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</si>
  <si>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</si>
  <si>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</si>
  <si>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</si>
  <si>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</si>
  <si>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</si>
  <si>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</si>
  <si>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</si>
  <si>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</si>
  <si>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</si>
  <si>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</si>
  <si>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</si>
  <si>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</si>
  <si>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</si>
  <si>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</si>
  <si>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</si>
  <si>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</si>
  <si>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</si>
  <si>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</si>
  <si>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</si>
  <si>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</si>
  <si>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</si>
  <si>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</si>
  <si>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</si>
  <si>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</si>
  <si>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</si>
  <si>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</si>
  <si>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</si>
  <si>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</si>
  <si>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</si>
  <si>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</si>
  <si>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</si>
  <si>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</si>
  <si>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</si>
  <si>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</si>
  <si>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</si>
  <si>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</si>
  <si>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</si>
  <si>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</si>
  <si>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</si>
  <si>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</si>
  <si>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</si>
  <si>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</si>
  <si>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</si>
  <si>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</si>
  <si>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</si>
  <si>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</si>
  <si>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</si>
  <si>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</si>
  <si>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</si>
  <si>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</si>
  <si>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</si>
  <si>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</si>
  <si>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</si>
  <si>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</si>
  <si>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</si>
  <si>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</si>
  <si>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</si>
  <si>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</si>
  <si>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</si>
  <si>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</si>
  <si>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</si>
  <si>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</si>
  <si>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</si>
  <si>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</si>
  <si>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</si>
  <si>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</si>
  <si>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</si>
  <si>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</si>
  <si>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</si>
  <si>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</si>
  <si>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</si>
  <si>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</si>
  <si>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</si>
  <si>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</si>
  <si>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</si>
  <si>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</si>
  <si>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</si>
  <si>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</si>
  <si>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</si>
  <si>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</si>
  <si>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</si>
  <si>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</si>
  <si>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</si>
  <si>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</si>
  <si>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</si>
  <si>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</si>
  <si>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</si>
  <si>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</si>
  <si>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</si>
  <si>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</si>
  <si>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</si>
  <si>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</si>
  <si>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</si>
  <si>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</si>
  <si>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</si>
  <si>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</si>
  <si>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</si>
  <si>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</si>
  <si>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</si>
  <si>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</si>
  <si>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</si>
  <si>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</si>
  <si>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</si>
  <si>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</si>
  <si>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</si>
  <si>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</si>
  <si>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</si>
  <si>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</si>
  <si>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</si>
  <si>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</si>
  <si>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</si>
  <si>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</si>
  <si>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</si>
  <si>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</si>
  <si>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</si>
  <si>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</si>
  <si>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</si>
  <si>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</si>
  <si>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</si>
  <si>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</si>
  <si>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</si>
  <si>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</si>
  <si>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</si>
  <si>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</si>
  <si>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</si>
  <si>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</si>
  <si>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</si>
  <si>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</si>
  <si>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</si>
  <si>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</si>
  <si>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</si>
  <si>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</si>
  <si>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</si>
  <si>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</si>
  <si>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</si>
  <si>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</si>
  <si>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</si>
  <si>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</si>
  <si>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</si>
  <si>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</si>
  <si>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</si>
  <si>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</si>
  <si>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</si>
  <si>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</si>
  <si>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</si>
  <si>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</si>
  <si>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</si>
  <si>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</si>
  <si>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</si>
  <si>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</si>
  <si>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</si>
  <si>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</si>
  <si>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</si>
  <si>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</si>
  <si>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</si>
  <si>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</si>
  <si>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</si>
  <si>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</si>
  <si>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</si>
  <si>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</si>
  <si>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</si>
  <si>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</si>
  <si>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</si>
  <si>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</si>
  <si>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</si>
  <si>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</si>
  <si>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</si>
  <si>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</si>
  <si>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</si>
  <si>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</si>
  <si>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</si>
  <si>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</si>
  <si>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</si>
  <si>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</si>
  <si>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</si>
  <si>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</si>
  <si>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</si>
  <si>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</si>
  <si>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</si>
  <si>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</si>
  <si>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</si>
  <si>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</si>
  <si>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</si>
  <si>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</si>
  <si>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</si>
  <si>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</si>
  <si>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</si>
  <si>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</si>
  <si>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</si>
  <si>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</si>
  <si>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</si>
  <si>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</si>
  <si>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</si>
  <si>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</si>
  <si>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</si>
  <si>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</si>
  <si>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</si>
  <si>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</si>
  <si>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</si>
  <si>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</si>
  <si>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</si>
  <si>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</si>
  <si>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</si>
  <si>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</si>
  <si>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</si>
  <si>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</si>
  <si>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</si>
  <si>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</si>
  <si>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</si>
  <si>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</si>
  <si>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</si>
  <si>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</si>
  <si>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</si>
  <si>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</si>
  <si>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</si>
  <si>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</si>
  <si>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</si>
  <si>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</si>
  <si>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</si>
  <si>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</si>
  <si>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</si>
  <si>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</si>
  <si>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</si>
  <si>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</si>
  <si>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</si>
  <si>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</si>
  <si>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</si>
  <si>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</si>
  <si>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</si>
  <si>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</si>
  <si>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</si>
  <si>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</si>
  <si>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</si>
  <si>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</si>
  <si>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</si>
  <si>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</si>
  <si>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</si>
  <si>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</si>
  <si>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</si>
  <si>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</si>
  <si>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</si>
  <si>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</si>
  <si>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</si>
  <si>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</si>
  <si>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</si>
  <si>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</si>
  <si>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</si>
  <si>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</si>
  <si>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</si>
  <si>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</si>
  <si>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</si>
  <si>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</si>
  <si>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</si>
  <si>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</si>
  <si>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</si>
  <si>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</si>
  <si>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</si>
  <si>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</si>
  <si>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</si>
  <si>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</si>
  <si>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</si>
  <si>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</si>
  <si>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</si>
  <si>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</si>
  <si>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</si>
  <si>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</si>
  <si>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</si>
  <si>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</si>
  <si>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</si>
  <si>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</si>
  <si>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</si>
  <si>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</si>
  <si>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</si>
  <si>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</si>
  <si>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</si>
  <si>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</si>
  <si>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</si>
  <si>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</si>
  <si>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</si>
  <si>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</si>
  <si>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</si>
  <si>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</si>
  <si>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</si>
  <si>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</si>
  <si>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</si>
  <si>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</si>
  <si>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</si>
  <si>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</si>
  <si>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</si>
  <si>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</si>
  <si>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</si>
  <si>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</si>
  <si>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</si>
  <si>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</si>
  <si>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</si>
  <si>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</si>
  <si>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</si>
  <si>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</si>
  <si>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</si>
  <si>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</si>
  <si>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</si>
  <si>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</si>
  <si>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</si>
  <si>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</si>
  <si>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</si>
  <si>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</si>
  <si>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</si>
  <si>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</si>
  <si>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</si>
  <si>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</si>
  <si>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</si>
  <si>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</si>
  <si>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</si>
  <si>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</si>
  <si>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</si>
  <si>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</si>
  <si>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</si>
  <si>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</si>
  <si>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</si>
  <si>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</si>
  <si>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</si>
  <si>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</si>
  <si>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</si>
  <si>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</si>
  <si>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</si>
  <si>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</si>
  <si>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</si>
  <si>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</si>
  <si>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</si>
  <si>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</si>
  <si>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</si>
  <si>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</si>
  <si>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</si>
  <si>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</si>
  <si>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</si>
  <si>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</si>
  <si>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</si>
  <si>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</si>
  <si>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</si>
  <si>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</si>
  <si>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</si>
  <si>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</si>
  <si>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</si>
  <si>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</si>
  <si>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</si>
  <si>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</si>
  <si>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</si>
  <si>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</si>
  <si>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</si>
  <si>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</si>
  <si>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</si>
  <si>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</si>
  <si>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</si>
  <si>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</si>
  <si>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</si>
  <si>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</si>
  <si>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</si>
  <si>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</si>
  <si>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</si>
  <si>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</si>
  <si>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</si>
  <si>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</si>
  <si>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</si>
  <si>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</si>
  <si>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</si>
  <si>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</si>
  <si>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</si>
  <si>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</si>
  <si>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</si>
  <si>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</si>
  <si>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</si>
  <si>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</si>
  <si>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</si>
  <si>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</si>
  <si>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</si>
  <si>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</si>
  <si>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</si>
  <si>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</si>
  <si>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</si>
  <si>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</si>
  <si>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</si>
  <si>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</si>
  <si>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</si>
  <si>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</si>
  <si>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</si>
  <si>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</si>
  <si>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</si>
  <si>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</si>
  <si>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</si>
  <si>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</si>
  <si>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</si>
  <si>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</si>
  <si>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</si>
  <si>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</si>
  <si>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</si>
  <si>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</si>
  <si>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</si>
  <si>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</si>
  <si>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</si>
  <si>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</si>
  <si>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</si>
  <si>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</si>
  <si>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</si>
  <si>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</si>
  <si>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</si>
  <si>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</si>
  <si>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</si>
  <si>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</si>
  <si>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</si>
  <si>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</si>
  <si>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</si>
  <si>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</si>
  <si>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</si>
  <si>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</si>
  <si>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</si>
  <si>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</si>
  <si>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</si>
  <si>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</si>
  <si>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</si>
  <si>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</si>
  <si>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</si>
  <si>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</si>
  <si>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</si>
  <si>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</si>
  <si>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</si>
  <si>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</si>
  <si>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</si>
  <si>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</si>
  <si>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</si>
  <si>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</si>
  <si>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</si>
  <si>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</si>
  <si>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</si>
  <si>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</si>
  <si>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</si>
  <si>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</si>
  <si>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</si>
  <si>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</si>
  <si>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</si>
  <si>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</si>
  <si>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</si>
  <si>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</si>
  <si>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</si>
  <si>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</si>
  <si>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</si>
  <si>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</si>
  <si>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</si>
  <si>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</si>
  <si>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</si>
  <si>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</si>
  <si>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</si>
  <si>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</si>
  <si>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</si>
  <si>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</si>
  <si>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</si>
  <si>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</si>
  <si>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</si>
  <si>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</si>
  <si>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</si>
  <si>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</si>
  <si>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</si>
  <si>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</si>
  <si>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</si>
  <si>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</si>
  <si>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</si>
  <si>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</si>
  <si>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</si>
  <si>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</si>
  <si>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</si>
  <si>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</si>
  <si>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</si>
  <si>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</si>
  <si>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</si>
  <si>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</si>
  <si>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</si>
  <si>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</si>
  <si>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</si>
  <si>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</si>
  <si>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</si>
  <si>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</si>
  <si>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</si>
  <si>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</si>
  <si>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</si>
  <si>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</si>
  <si>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</si>
  <si>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</si>
  <si>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</si>
  <si>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</si>
  <si>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</si>
  <si>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</si>
  <si>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</si>
  <si>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</si>
  <si>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</si>
  <si>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</si>
  <si>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</si>
  <si>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</si>
  <si>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</si>
  <si>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</si>
  <si>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</si>
  <si>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</si>
  <si>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</si>
  <si>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</si>
  <si>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</si>
  <si>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</si>
  <si>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</si>
  <si>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</si>
  <si>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</si>
  <si>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</si>
  <si>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</si>
  <si>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</si>
  <si>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</si>
  <si>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</si>
  <si>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</si>
  <si>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</si>
  <si>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</si>
  <si>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</si>
  <si>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</si>
  <si>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</si>
  <si>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</si>
  <si>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</si>
  <si>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</si>
  <si>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</si>
  <si>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</si>
  <si>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</si>
  <si>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</si>
  <si>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</si>
  <si>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</si>
  <si>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</si>
  <si>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</si>
  <si>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</si>
  <si>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</si>
  <si>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</si>
  <si>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</si>
  <si>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</si>
  <si>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</si>
  <si>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</si>
  <si>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</si>
  <si>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</si>
  <si>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</si>
  <si>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</si>
  <si>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</si>
  <si>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</si>
  <si>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</si>
  <si>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</si>
  <si>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</si>
  <si>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</si>
  <si>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</si>
  <si>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</si>
  <si>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</si>
  <si>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</si>
  <si>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</si>
  <si>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</si>
  <si>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</si>
  <si>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</si>
  <si>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</si>
  <si>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</si>
  <si>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</si>
  <si>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</si>
  <si>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</si>
  <si>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</si>
  <si>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</si>
  <si>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</si>
  <si>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</si>
  <si>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</si>
  <si>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</si>
  <si>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</si>
  <si>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</si>
  <si>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</si>
  <si>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</si>
  <si>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</si>
  <si>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</si>
  <si>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</si>
  <si>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</si>
  <si>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</si>
  <si>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</si>
  <si>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</si>
  <si>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</si>
  <si>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</si>
  <si>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</si>
  <si>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</si>
  <si>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</si>
  <si>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</si>
  <si>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</si>
  <si>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</si>
  <si>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</si>
  <si>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</si>
  <si>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</si>
  <si>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</si>
  <si>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</si>
  <si>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</si>
  <si>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</si>
  <si>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</si>
  <si>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</si>
  <si>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</si>
  <si>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</si>
  <si>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</si>
  <si>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</si>
  <si>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</si>
  <si>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</si>
  <si>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</si>
  <si>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</si>
  <si>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</si>
  <si>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</si>
  <si>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</si>
  <si>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</si>
  <si>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</si>
  <si>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</si>
  <si>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</si>
  <si>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</si>
  <si>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</si>
  <si>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</si>
  <si>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</si>
  <si>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</si>
  <si>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</si>
  <si>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</si>
  <si>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</si>
  <si>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</si>
  <si>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</si>
  <si>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</si>
  <si>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</si>
  <si>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</si>
  <si>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</si>
  <si>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</si>
  <si>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</si>
  <si>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</si>
  <si>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</si>
  <si>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</si>
  <si>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</si>
  <si>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</si>
  <si>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</si>
  <si>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</si>
  <si>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</si>
  <si>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</si>
  <si>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</si>
  <si>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</si>
  <si>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</si>
  <si>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</si>
  <si>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</si>
  <si>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</si>
  <si>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</si>
  <si>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</si>
  <si>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</si>
  <si>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</si>
  <si>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</si>
  <si>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</si>
  <si>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</si>
  <si>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</si>
  <si>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</si>
  <si>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</si>
  <si>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</si>
  <si>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</si>
  <si>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</si>
  <si>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</si>
  <si>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</si>
  <si>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</si>
  <si>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</si>
  <si>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</si>
  <si>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</si>
  <si>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</si>
  <si>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Tartagine</t>
  </si>
  <si>
    <t xml:space="preserve">Castifao</t>
  </si>
  <si>
    <t xml:space="preserve">06213200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</si>
  <si>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</si>
  <si>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</si>
  <si>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</si>
  <si>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</si>
  <si>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</si>
  <si>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</si>
  <si>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</si>
  <si>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</si>
  <si>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</si>
  <si>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</si>
  <si>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</si>
  <si>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</si>
  <si>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</si>
  <si>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</si>
  <si>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</si>
  <si>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</si>
  <si>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</si>
  <si>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</si>
  <si>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</si>
  <si>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</si>
  <si>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</si>
  <si>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</si>
  <si>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</si>
  <si>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</si>
  <si>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</si>
  <si>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</si>
  <si>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</si>
  <si>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</si>
  <si>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</si>
  <si>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</si>
  <si>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</si>
  <si>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</si>
  <si>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</si>
  <si>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</si>
  <si>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</si>
  <si>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</si>
  <si>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</si>
  <si>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</si>
  <si>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</si>
  <si>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</si>
  <si>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</si>
  <si>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</si>
  <si>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</si>
  <si>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</si>
  <si>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</si>
  <si>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</si>
  <si>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</si>
  <si>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</si>
  <si>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</si>
  <si>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</si>
  <si>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(1,1784 %)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</si>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</sst>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12.2222222222222</v>
      </c>
      <c r="M5" s="323"/>
      <c r="N5" s="324" t="s">
        <v>154</v>
      </c>
      <c r="O5" s="325" t="n">
        <v>11.7391304347826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56</v>
      </c>
      <c r="C7" s="337" t="n">
        <v>44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8.70588235294118</v>
      </c>
      <c r="O8" s="354" t="n">
        <f aca="false">IF(ISERROR(AVERAGE(J23:J82)),"      -",AVERAGE(J23:J82))</f>
        <v>1.29411764705882</v>
      </c>
      <c r="P8" s="355"/>
      <c r="Q8" s="280"/>
      <c r="R8" s="280"/>
      <c r="S8" s="280"/>
      <c r="T8" s="280"/>
      <c r="U8" s="280"/>
      <c r="V8" s="280"/>
      <c r="W8" s="292"/>
      <c r="X8" s="293"/>
    </row>
    <row r="9" customFormat="false" ht="13.5" hidden="false" customHeight="false" outlineLevel="0" collapsed="false">
      <c r="A9" s="313" t="s">
        <v>2635</v>
      </c>
      <c r="B9" s="356" t="n">
        <v>1</v>
      </c>
      <c r="C9" s="357" t="n">
        <v>1.4</v>
      </c>
      <c r="D9" s="358"/>
      <c r="E9" s="358"/>
      <c r="F9" s="359" t="n">
        <f aca="false">($B9*$B$7+$C9*$C$7)/100</f>
        <v>1.176</v>
      </c>
      <c r="G9" s="360"/>
      <c r="H9" s="361"/>
      <c r="I9" s="362"/>
      <c r="J9" s="363"/>
      <c r="K9" s="343"/>
      <c r="L9" s="364"/>
      <c r="M9" s="353" t="s">
        <v>2636</v>
      </c>
      <c r="N9" s="354" t="n">
        <f aca="false">IF(ISERROR(STDEVP(I23:I82)),"     -",STDEVP(I23:I82))</f>
        <v>5.68553071538365</v>
      </c>
      <c r="O9" s="354" t="n">
        <f aca="false">IF(ISERROR(STDEVP(J23:J82)),"      -",STDEVP(J23:J82))</f>
        <v>0.89210299341783</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9</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17</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5</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7</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1.02</v>
      </c>
      <c r="C20" s="436" t="n">
        <f aca="false">SUM(C23:C82)</f>
        <v>1.38</v>
      </c>
      <c r="D20" s="437"/>
      <c r="E20" s="438" t="s">
        <v>2660</v>
      </c>
      <c r="F20" s="439" t="n">
        <f aca="false">($B20*$B$7+$C20*$C$7)/100</f>
        <v>1.1784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0.5712</v>
      </c>
      <c r="C21" s="449" t="n">
        <f aca="false">C20*C7/100</f>
        <v>0.6072</v>
      </c>
      <c r="D21" s="381" t="str">
        <f aca="false">IF(F21=0,"",IF((ABS(F21-F19))&gt;(0.2*F21),CONCATENATE(" rec. par taxa (",F21," %) supérieur à 20 % !"),""))</f>
        <v> rec. par taxa (1,1784 %) supérieur à 20 % !</v>
      </c>
      <c r="E21" s="450" t="str">
        <f aca="false">IF(F21=0,"",IF((ABS(F21-F19))&gt;(0.2*F21),CONCATENATE("ATTENTION : écart entre rec. par grp (",F19," %) ","et",""),""))</f>
        <v>ATTENTION : écart entre rec. par grp (0 %) et</v>
      </c>
      <c r="F21" s="451" t="n">
        <f aca="false">B21+C21</f>
        <v>1.1784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0.0028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0.0028</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0.02</v>
      </c>
      <c r="C24" s="495" t="n">
        <v>0.03</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0.0244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0.0244</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0.1</v>
      </c>
      <c r="C25" s="495" t="n">
        <v>0.3</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0.188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0.188</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0.55</v>
      </c>
      <c r="C26" s="495" t="n">
        <v>0.005</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0.3102</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0.3102</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166</v>
      </c>
      <c r="B27" s="494" t="n">
        <v>0.005</v>
      </c>
      <c r="C27" s="495"/>
      <c r="D27" s="477" t="str">
        <f aca="false">IF(ISERROR(VLOOKUP($A27,'liste reference'!$A$7:$D$904,2,0)),IF(ISERROR(VLOOKUP($A27,'liste reference'!$B$7:$D$904,1,0)),"",VLOOKUP($A27,'liste reference'!$B$7:$D$904,1,0)),VLOOKUP($A27,'liste reference'!$A$7:$D$904,2,0))</f>
        <v>Microcoleus sp.</v>
      </c>
      <c r="E27" s="496" t="e">
        <f aca="false">IF(D27="",0,VLOOKUP(D27,D$22:D26,1,0))</f>
        <v>#N/A</v>
      </c>
      <c r="F27" s="497" t="n">
        <f aca="false">($B27*$B$7+$C27*$C$7)/100</f>
        <v>0.0028</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Microcoleus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6405</v>
      </c>
      <c r="Q27" s="486" t="n">
        <f aca="false">IF(ISTEXT(H27),"",(B27*$B$7/100)+(C27*$C$7/100))</f>
        <v>0.0028</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MIRSPX</v>
      </c>
      <c r="Z27" s="280" t="n">
        <f aca="false">IF(ISERROR(MATCH(A27,'liste reference'!$A$8:$A$904,0)),IF(ISERROR(MATCH(A27,'liste reference'!$B$8:$B$904,0)),"",(MATCH(A27,'liste reference'!$B$8:$B$904,0))),(MATCH(A27,'liste reference'!$A$8:$A$904,0)))</f>
        <v>38</v>
      </c>
      <c r="AA27" s="491" t="s">
        <v>2685</v>
      </c>
      <c r="AB27" s="492"/>
      <c r="AC27" s="492"/>
      <c r="BB27" s="280" t="n">
        <f aca="false">IF(A27="","",1)</f>
        <v>1</v>
      </c>
    </row>
    <row r="28" customFormat="false" ht="12.75" hidden="false" customHeight="false" outlineLevel="0" collapsed="false">
      <c r="A28" s="493" t="s">
        <v>223</v>
      </c>
      <c r="B28" s="494"/>
      <c r="C28" s="495" t="n">
        <v>0.01</v>
      </c>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0.0044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0.0044</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500"/>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228</v>
      </c>
      <c r="B29" s="494" t="n">
        <v>0.005</v>
      </c>
      <c r="C29" s="495"/>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0.0028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0.0028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c r="AB29" s="492"/>
      <c r="AC29" s="492"/>
      <c r="BB29" s="280" t="n">
        <f aca="false">IF(A29="","",1)</f>
        <v>1</v>
      </c>
    </row>
    <row r="30" customFormat="false" ht="12.75" hidden="false" customHeight="false" outlineLevel="0" collapsed="false">
      <c r="A30" s="493" t="s">
        <v>258</v>
      </c>
      <c r="B30" s="494" t="n">
        <v>0.01</v>
      </c>
      <c r="C30" s="495" t="n">
        <v>0.01</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0.01</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0.01</v>
      </c>
      <c r="R30" s="487" t="n">
        <f aca="false">IF(OR(ISTEXT(H30),Q30=0),"",IF(Q30&lt;0.1,1,IF(Q30&lt;1,2,IF(Q30&lt;10,3,IF(Q30&lt;50,4,IF(Q30&gt;=50,5,""))))))</f>
        <v>1</v>
      </c>
      <c r="S30" s="487" t="n">
        <f aca="false">IF(ISERROR(R30*I30),0,R30*I30)</f>
        <v>10</v>
      </c>
      <c r="T30" s="487" t="n">
        <f aca="false">IF(ISERROR(R30*I30*J30),0,R30*I30*J30)</f>
        <v>10</v>
      </c>
      <c r="U30" s="499" t="n">
        <f aca="false">IF(ISERROR(R30*J30),0,R30*J30)</f>
        <v>1</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270</v>
      </c>
      <c r="B31" s="494"/>
      <c r="C31" s="495" t="n">
        <v>0.005</v>
      </c>
      <c r="D31" s="477" t="str">
        <f aca="false">IF(ISERROR(VLOOKUP($A31,'liste reference'!$A$7:$D$904,2,0)),IF(ISERROR(VLOOKUP($A31,'liste reference'!$B$7:$D$904,1,0)),"",VLOOKUP($A31,'liste reference'!$B$7:$D$904,1,0)),VLOOKUP($A31,'liste reference'!$A$7:$D$904,2,0))</f>
        <v>Tetraspora sp.</v>
      </c>
      <c r="E31" s="496" t="e">
        <f aca="false">IF(D31="",0,VLOOKUP(D31,D$22:D30,1,0))</f>
        <v>#N/A</v>
      </c>
      <c r="F31" s="497" t="n">
        <f aca="false">($B31*$B$7+$C31*$C$7)/100</f>
        <v>0.0022</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Tetraspora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1138</v>
      </c>
      <c r="Q31" s="486" t="n">
        <f aca="false">IF(ISTEXT(H31),"",(B31*$B$7/100)+(C31*$C$7/100))</f>
        <v>0.0022</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TETSPX</v>
      </c>
      <c r="Z31" s="280" t="n">
        <f aca="false">IF(ISERROR(MATCH(A31,'liste reference'!$A$8:$A$904,0)),IF(ISERROR(MATCH(A31,'liste reference'!$B$8:$B$904,0)),"",(MATCH(A31,'liste reference'!$B$8:$B$904,0))),(MATCH(A31,'liste reference'!$A$8:$A$904,0)))</f>
        <v>73</v>
      </c>
      <c r="AA31" s="491"/>
      <c r="AB31" s="492"/>
      <c r="AC31" s="492"/>
      <c r="BB31" s="280" t="n">
        <f aca="false">IF(A31="","",1)</f>
        <v>1</v>
      </c>
    </row>
    <row r="32" customFormat="false" ht="12.75" hidden="false" customHeight="false" outlineLevel="0" collapsed="false">
      <c r="A32" s="493" t="s">
        <v>359</v>
      </c>
      <c r="B32" s="494" t="n">
        <v>0.03</v>
      </c>
      <c r="C32" s="495" t="n">
        <v>0.1</v>
      </c>
      <c r="D32" s="477" t="str">
        <f aca="false">IF(ISERROR(VLOOKUP($A32,'liste reference'!$A$7:$D$904,2,0)),IF(ISERROR(VLOOKUP($A32,'liste reference'!$B$7:$D$904,1,0)),"",VLOOKUP($A32,'liste reference'!$B$7:$D$904,1,0)),VLOOKUP($A32,'liste reference'!$A$7:$D$904,2,0))</f>
        <v>Chiloscyphus polyanthos</v>
      </c>
      <c r="E32" s="496" t="e">
        <f aca="false">IF(D32="",0,VLOOKUP(D32,D$21:D26,1,0))</f>
        <v>#N/A</v>
      </c>
      <c r="F32" s="497" t="n">
        <f aca="false">($B32*$B$7+$C32*$C$7)/100</f>
        <v>0.0608</v>
      </c>
      <c r="G32" s="479" t="str">
        <f aca="false">IF(A32="","",IF(ISERROR(VLOOKUP($A32,'liste reference'!$A$7:$P$904,13,0)),IF(ISERROR(VLOOKUP($A32,'liste reference'!$B$7:$P$904,12,0)),"    -",VLOOKUP($A32,'liste reference'!$B$7:$P$904,12,0)),VLOOKUP($A32,'liste reference'!$A$7:$P$904,13,0)))</f>
        <v>BRh</v>
      </c>
      <c r="H32" s="480" t="n">
        <f aca="false">IF(A32="","x",IF(ISERROR(VLOOKUP($A32,'liste reference'!$A$8:$P$904,14,0)),IF(ISERROR(VLOOKUP($A32,'liste reference'!$B$8:$P$904,13,0)),"x",VLOOKUP($A32,'liste reference'!$B$8:$P$904,13,0)),VLOOKUP($A32,'liste reference'!$A$8:$P$904,14,0)))</f>
        <v>4</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Chiloscyphus polyanthos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1186</v>
      </c>
      <c r="Q32" s="486" t="n">
        <f aca="false">IF(ISTEXT(H32),"",(B32*$B$7/100)+(C32*$C$7/100))</f>
        <v>0.0608</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CHIPOL</v>
      </c>
      <c r="Z32" s="280" t="n">
        <f aca="false">IF(ISERROR(MATCH(A32,'liste reference'!$A$8:$A$904,0)),IF(ISERROR(MATCH(A32,'liste reference'!$B$8:$B$904,0)),"",(MATCH(A32,'liste reference'!$B$8:$B$904,0))),(MATCH(A32,'liste reference'!$A$8:$A$904,0)))</f>
        <v>97</v>
      </c>
      <c r="AA32" s="491"/>
      <c r="AB32" s="492"/>
      <c r="AC32" s="492"/>
      <c r="BB32" s="280" t="n">
        <f aca="false">IF(A32="","",1)</f>
        <v>1</v>
      </c>
    </row>
    <row r="33" customFormat="false" ht="12.75" hidden="false" customHeight="false" outlineLevel="0" collapsed="false">
      <c r="A33" s="493" t="s">
        <v>645</v>
      </c>
      <c r="B33" s="494" t="n">
        <v>0.1</v>
      </c>
      <c r="C33" s="495"/>
      <c r="D33" s="477" t="str">
        <f aca="false">IF(ISERROR(VLOOKUP($A33,'liste reference'!$A$7:$D$904,2,0)),IF(ISERROR(VLOOKUP($A33,'liste reference'!$B$7:$D$904,1,0)),"",VLOOKUP($A33,'liste reference'!$B$7:$D$904,1,0)),VLOOKUP($A33,'liste reference'!$A$7:$D$904,2,0))</f>
        <v>Amblystegium riparium</v>
      </c>
      <c r="E33" s="496" t="e">
        <f aca="false">IF(D33="",0,VLOOKUP(D33,D$22:D32,1,0))</f>
        <v>#N/A</v>
      </c>
      <c r="F33" s="497" t="n">
        <f aca="false">($B33*$B$7+$C33*$C$7)/100</f>
        <v>0.056</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Amblystegium riparium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1219</v>
      </c>
      <c r="Q33" s="486" t="n">
        <f aca="false">IF(ISTEXT(H33),"",(B33*$B$7/100)+(C33*$C$7/100))</f>
        <v>0.056</v>
      </c>
      <c r="R33" s="487" t="n">
        <f aca="false">IF(OR(ISTEXT(H33),Q33=0),"",IF(Q33&lt;0.1,1,IF(Q33&lt;1,2,IF(Q33&lt;10,3,IF(Q33&lt;50,4,IF(Q33&gt;=50,5,""))))))</f>
        <v>1</v>
      </c>
      <c r="S33" s="487" t="n">
        <f aca="false">IF(ISERROR(R33*I33),0,R33*I33)</f>
        <v>5</v>
      </c>
      <c r="T33" s="487" t="n">
        <f aca="false">IF(ISERROR(R33*I33*J33),0,R33*I33*J33)</f>
        <v>10</v>
      </c>
      <c r="U33" s="499" t="n">
        <f aca="false">IF(ISERROR(R33*J33),0,R33*J33)</f>
        <v>2</v>
      </c>
      <c r="V33" s="488" t="str">
        <f aca="false">IF(AND(A33="",F33=0),"",IF(F33=0,"Il manque le(s) % de rec. !",""))</f>
        <v/>
      </c>
      <c r="W33" s="489"/>
      <c r="Y33" s="490" t="str">
        <f aca="false">IF(A33="new.cod","NEWCOD",IF(AND((Z33=""),ISTEXT(A33)),A33,IF(Z33="","",INDEX('liste reference'!$A$8:$A$904,Z33))))</f>
        <v>AMBRIP</v>
      </c>
      <c r="Z33" s="280" t="n">
        <f aca="false">IF(ISERROR(MATCH(A33,'liste reference'!$A$8:$A$904,0)),IF(ISERROR(MATCH(A33,'liste reference'!$B$8:$B$904,0)),"",(MATCH(A33,'liste reference'!$B$8:$B$904,0))),(MATCH(A33,'liste reference'!$A$8:$A$904,0)))</f>
        <v>148</v>
      </c>
      <c r="AA33" s="491"/>
      <c r="AB33" s="492"/>
      <c r="AC33" s="492"/>
      <c r="BB33" s="280" t="n">
        <f aca="false">IF(A33="","",1)</f>
        <v>1</v>
      </c>
    </row>
    <row r="34" customFormat="false" ht="12.75" hidden="false" customHeight="false" outlineLevel="0" collapsed="false">
      <c r="A34" s="493" t="s">
        <v>837</v>
      </c>
      <c r="B34" s="494"/>
      <c r="C34" s="495" t="n">
        <v>0.005</v>
      </c>
      <c r="D34" s="477" t="str">
        <f aca="false">IF(ISERROR(VLOOKUP($A34,'liste reference'!$A$7:$D$904,2,0)),IF(ISERROR(VLOOKUP($A34,'liste reference'!$B$7:$D$904,1,0)),"",VLOOKUP($A34,'liste reference'!$B$7:$D$904,1,0)),VLOOKUP($A34,'liste reference'!$A$7:$D$904,2,0))</f>
        <v>Eurhynchium sp.</v>
      </c>
      <c r="E34" s="496" t="e">
        <f aca="false">IF(D34="",0,VLOOKUP(D34,D$22:D33,1,0))</f>
        <v>#N/A</v>
      </c>
      <c r="F34" s="501" t="n">
        <f aca="false">($B34*$B$7+$C34*$C$7)/100</f>
        <v>0.0022</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Eurhynchium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1262</v>
      </c>
      <c r="Q34" s="486" t="n">
        <f aca="false">IF(ISTEXT(H34),"",(B34*$B$7/100)+(C34*$C$7/100))</f>
        <v>0.0022</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EURSPX</v>
      </c>
      <c r="Z34" s="280" t="n">
        <f aca="false">IF(ISERROR(MATCH(A34,'liste reference'!$A$8:$A$904,0)),IF(ISERROR(MATCH(A34,'liste reference'!$B$8:$B$904,0)),"",(MATCH(A34,'liste reference'!$B$8:$B$904,0))),(MATCH(A34,'liste reference'!$A$8:$A$904,0)))</f>
        <v>194</v>
      </c>
      <c r="AA34" s="491"/>
      <c r="AB34" s="492"/>
      <c r="AC34" s="492"/>
      <c r="BB34" s="280" t="n">
        <f aca="false">IF(A34="","",1)</f>
        <v>1</v>
      </c>
    </row>
    <row r="35" customFormat="false" ht="12.75" hidden="false" customHeight="false" outlineLevel="0" collapsed="false">
      <c r="A35" s="493" t="s">
        <v>910</v>
      </c>
      <c r="B35" s="494" t="n">
        <v>0.05</v>
      </c>
      <c r="C35" s="495" t="n">
        <v>0.15</v>
      </c>
      <c r="D35" s="477" t="str">
        <f aca="false">IF(ISERROR(VLOOKUP($A35,'liste reference'!$A$7:$D$904,2,0)),IF(ISERROR(VLOOKUP($A35,'liste reference'!$B$7:$D$904,1,0)),"",VLOOKUP($A35,'liste reference'!$B$7:$D$904,1,0)),VLOOKUP($A35,'liste reference'!$A$7:$D$904,2,0))</f>
        <v>Fontinalis hypnoides var. duriaei</v>
      </c>
      <c r="E35" s="496" t="e">
        <f aca="false">IF(D35="",0,VLOOKUP(D35,D$22:D34,1,0))</f>
        <v>#N/A</v>
      </c>
      <c r="F35" s="501" t="n">
        <f aca="false">($B35*$B$7+$C35*$C$7)/100</f>
        <v>0.094</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14</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hypnoides var. duriaei</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10215</v>
      </c>
      <c r="Q35" s="486" t="n">
        <f aca="false">IF(ISTEXT(H35),"",(B35*$B$7/100)+(C35*$C$7/100))</f>
        <v>0.094</v>
      </c>
      <c r="R35" s="487" t="n">
        <f aca="false">IF(OR(ISTEXT(H35),Q35=0),"",IF(Q35&lt;0.1,1,IF(Q35&lt;1,2,IF(Q35&lt;10,3,IF(Q35&lt;50,4,IF(Q35&gt;=50,5,""))))))</f>
        <v>1</v>
      </c>
      <c r="S35" s="487" t="n">
        <f aca="false">IF(ISERROR(R35*I35),0,R35*I35)</f>
        <v>14</v>
      </c>
      <c r="T35" s="487" t="n">
        <f aca="false">IF(ISERROR(R35*I35*J35),0,R35*I35*J35)</f>
        <v>42</v>
      </c>
      <c r="U35" s="499" t="n">
        <f aca="false">IF(ISERROR(R35*J35),0,R35*J35)</f>
        <v>3</v>
      </c>
      <c r="V35" s="488" t="str">
        <f aca="false">IF(AND(A35="",F35=0),"",IF(F35=0,"Il manque le(s) % de rec. !",""))</f>
        <v/>
      </c>
      <c r="W35" s="489"/>
      <c r="Y35" s="490" t="str">
        <f aca="false">IF(A35="new.cod","NEWCOD",IF(AND((Z35=""),ISTEXT(A35)),A35,IF(Z35="","",INDEX('liste reference'!$A$8:$A$904,Z35))))</f>
        <v>FONHYD</v>
      </c>
      <c r="Z35" s="280" t="n">
        <f aca="false">IF(ISERROR(MATCH(A35,'liste reference'!$A$8:$A$904,0)),IF(ISERROR(MATCH(A35,'liste reference'!$B$8:$B$904,0)),"",(MATCH(A35,'liste reference'!$B$8:$B$904,0))),(MATCH(A35,'liste reference'!$A$8:$A$904,0)))</f>
        <v>212</v>
      </c>
      <c r="AA35" s="491"/>
      <c r="AB35" s="492"/>
      <c r="AC35" s="492"/>
      <c r="BB35" s="280" t="n">
        <f aca="false">IF(A35="","",1)</f>
        <v>1</v>
      </c>
    </row>
    <row r="36" customFormat="false" ht="12.75" hidden="false" customHeight="false" outlineLevel="0" collapsed="false">
      <c r="A36" s="493" t="s">
        <v>1054</v>
      </c>
      <c r="B36" s="494" t="n">
        <v>0.04</v>
      </c>
      <c r="C36" s="495"/>
      <c r="D36" s="477" t="str">
        <f aca="false">IF(ISERROR(VLOOKUP($A36,'liste reference'!$A$7:$D$904,2,0)),IF(ISERROR(VLOOKUP($A36,'liste reference'!$B$7:$D$904,1,0)),"",VLOOKUP($A36,'liste reference'!$B$7:$D$904,1,0)),VLOOKUP($A36,'liste reference'!$A$7:$D$904,2,0))</f>
        <v>Rhynchostegium riparioides</v>
      </c>
      <c r="E36" s="496" t="e">
        <f aca="false">IF(D36="",0,VLOOKUP(D36,D$22:D35,1,0))</f>
        <v>#N/A</v>
      </c>
      <c r="F36" s="501" t="n">
        <f aca="false">($B36*$B$7+$C36*$C$7)/100</f>
        <v>0.0224</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1268</v>
      </c>
      <c r="Q36" s="486" t="n">
        <f aca="false">IF(ISTEXT(H36),"",(B36*$B$7/100)+(C36*$C$7/100))</f>
        <v>0.0224</v>
      </c>
      <c r="R36" s="487" t="n">
        <f aca="false">IF(OR(ISTEXT(H36),Q36=0),"",IF(Q36&lt;0.1,1,IF(Q36&lt;1,2,IF(Q36&lt;10,3,IF(Q36&lt;50,4,IF(Q36&gt;=50,5,""))))))</f>
        <v>1</v>
      </c>
      <c r="S36" s="487" t="n">
        <f aca="false">IF(ISERROR(R36*I36),0,R36*I36)</f>
        <v>12</v>
      </c>
      <c r="T36" s="487" t="n">
        <f aca="false">IF(ISERROR(R36*I36*J36),0,R36*I36*J36)</f>
        <v>12</v>
      </c>
      <c r="U36" s="499" t="n">
        <f aca="false">IF(ISERROR(R36*J36),0,R36*J36)</f>
        <v>1</v>
      </c>
      <c r="V36" s="488" t="str">
        <f aca="false">IF(AND(A36="",F36=0),"",IF(F36=0,"Il manque le(s) % de rec. !",""))</f>
        <v/>
      </c>
      <c r="W36" s="489"/>
      <c r="Y36" s="490" t="str">
        <f aca="false">IF(A36="new.cod","NEWCOD",IF(AND((Z36=""),ISTEXT(A36)),A36,IF(Z36="","",INDEX('liste reference'!$A$8:$A$904,Z36))))</f>
        <v>RHYRIP</v>
      </c>
      <c r="Z36" s="280" t="n">
        <f aca="false">IF(ISERROR(MATCH(A36,'liste reference'!$A$8:$A$904,0)),IF(ISERROR(MATCH(A36,'liste reference'!$B$8:$B$904,0)),"",(MATCH(A36,'liste reference'!$B$8:$B$904,0))),(MATCH(A36,'liste reference'!$A$8:$A$904,0)))</f>
        <v>252</v>
      </c>
      <c r="AA36" s="491"/>
      <c r="AB36" s="492"/>
      <c r="AC36" s="492"/>
      <c r="BB36" s="280" t="n">
        <f aca="false">IF(A36="","",1)</f>
        <v>1</v>
      </c>
    </row>
    <row r="37" customFormat="false" ht="12.75" hidden="false" customHeight="false" outlineLevel="0" collapsed="false">
      <c r="A37" s="493" t="s">
        <v>1197</v>
      </c>
      <c r="B37" s="494"/>
      <c r="C37" s="495" t="n">
        <v>0.005</v>
      </c>
      <c r="D37" s="477" t="str">
        <f aca="false">IF(ISERROR(VLOOKUP($A37,'liste reference'!$A$7:$D$904,2,0)),IF(ISERROR(VLOOKUP($A37,'liste reference'!$B$7:$D$904,1,0)),"",VLOOKUP($A37,'liste reference'!$B$7:$D$904,1,0)),VLOOKUP($A37,'liste reference'!$A$7:$D$904,2,0))</f>
        <v>Osmunda regalis</v>
      </c>
      <c r="E37" s="496" t="e">
        <f aca="false">IF(D37="",0,VLOOKUP(D37,D$22:D36,1,0))</f>
        <v>#N/A</v>
      </c>
      <c r="F37" s="501" t="n">
        <f aca="false">($B37*$B$7+$C37*$C$7)/100</f>
        <v>0.0022</v>
      </c>
      <c r="G37" s="479" t="str">
        <f aca="false">IF(A37="","",IF(ISERROR(VLOOKUP($A37,'liste reference'!$A$7:$P$904,13,0)),IF(ISERROR(VLOOKUP($A37,'liste reference'!$B$7:$P$904,12,0)),"    -",VLOOKUP($A37,'liste reference'!$B$7:$P$904,12,0)),VLOOKUP($A37,'liste reference'!$A$7:$P$904,13,0)))</f>
        <v>PTE</v>
      </c>
      <c r="H37" s="480" t="n">
        <f aca="false">IF(A37="","x",IF(ISERROR(VLOOKUP($A37,'liste reference'!$A$8:$P$904,14,0)),IF(ISERROR(VLOOKUP($A37,'liste reference'!$B$8:$P$904,13,0)),"x",VLOOKUP($A37,'liste reference'!$B$8:$P$904,13,0)),VLOOKUP($A37,'liste reference'!$A$8:$P$904,14,0)))</f>
        <v>6</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Osmunda regalis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1403</v>
      </c>
      <c r="Q37" s="486" t="n">
        <f aca="false">IF(ISTEXT(H37),"",(B37*$B$7/100)+(C37*$C$7/100))</f>
        <v>0.0022</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OSMREG</v>
      </c>
      <c r="Z37" s="280" t="n">
        <f aca="false">IF(ISERROR(MATCH(A37,'liste reference'!$A$8:$A$904,0)),IF(ISERROR(MATCH(A37,'liste reference'!$B$8:$B$904,0)),"",(MATCH(A37,'liste reference'!$B$8:$B$904,0))),(MATCH(A37,'liste reference'!$A$8:$A$904,0)))</f>
        <v>298</v>
      </c>
      <c r="AA37" s="491"/>
      <c r="AB37" s="492"/>
      <c r="AC37" s="492"/>
      <c r="BB37" s="280" t="n">
        <f aca="false">IF(A37="","",1)</f>
        <v>1</v>
      </c>
    </row>
    <row r="38" customFormat="false" ht="12.75" hidden="false" customHeight="false" outlineLevel="0" collapsed="false">
      <c r="A38" s="493" t="s">
        <v>1936</v>
      </c>
      <c r="B38" s="494" t="n">
        <v>0.1</v>
      </c>
      <c r="C38" s="495" t="n">
        <v>0.75</v>
      </c>
      <c r="D38" s="477" t="str">
        <f aca="false">IF(ISERROR(VLOOKUP($A38,'liste reference'!$A$7:$D$904,2,0)),IF(ISERROR(VLOOKUP($A38,'liste reference'!$B$7:$D$904,1,0)),"",VLOOKUP($A38,'liste reference'!$B$7:$D$904,1,0)),VLOOKUP($A38,'liste reference'!$A$7:$D$904,2,0))</f>
        <v>Mentha aquatica</v>
      </c>
      <c r="E38" s="496" t="e">
        <f aca="false">IF(D38="",0,VLOOKUP(D38,D$15:D37,1,0))</f>
        <v>#N/A</v>
      </c>
      <c r="F38" s="501" t="n">
        <f aca="false">($B38*$B$7+$C38*$C$7)/100</f>
        <v>0.386</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1791</v>
      </c>
      <c r="Q38" s="486" t="n">
        <f aca="false">IF(ISTEXT(H38),"",(B38*$B$7/100)+(C38*$C$7/100))</f>
        <v>0.386</v>
      </c>
      <c r="R38" s="487" t="n">
        <f aca="false">IF(OR(ISTEXT(H38),Q38=0),"",IF(Q38&lt;0.1,1,IF(Q38&lt;1,2,IF(Q38&lt;10,3,IF(Q38&lt;50,4,IF(Q38&gt;=50,5,""))))))</f>
        <v>2</v>
      </c>
      <c r="S38" s="487" t="n">
        <f aca="false">IF(ISERROR(R38*I38),0,R38*I38)</f>
        <v>24</v>
      </c>
      <c r="T38" s="487" t="n">
        <f aca="false">IF(ISERROR(R38*I38*J38),0,R38*I38*J38)</f>
        <v>24</v>
      </c>
      <c r="U38" s="499" t="n">
        <f aca="false">IF(ISERROR(R38*J38),0,R38*J38)</f>
        <v>2</v>
      </c>
      <c r="V38" s="488" t="str">
        <f aca="false">IF(AND(A38="",F38=0),"",IF(F38=0,"Il manque le(s) % de rec. !",""))</f>
        <v/>
      </c>
      <c r="W38" s="489"/>
      <c r="Y38" s="490" t="str">
        <f aca="false">IF(A38="new.cod","NEWCOD",IF(AND((Z38=""),ISTEXT(A38)),A38,IF(Z38="","",INDEX('liste reference'!$A$8:$A$904,Z38))))</f>
        <v>MENAQU</v>
      </c>
      <c r="Z38" s="280" t="n">
        <f aca="false">IF(ISERROR(MATCH(A38,'liste reference'!$A$8:$A$904,0)),IF(ISERROR(MATCH(A38,'liste reference'!$B$8:$B$904,0)),"",(MATCH(A38,'liste reference'!$B$8:$B$904,0))),(MATCH(A38,'liste reference'!$A$8:$A$904,0)))</f>
        <v>607</v>
      </c>
      <c r="AA38" s="491"/>
      <c r="AB38" s="492"/>
      <c r="AC38" s="492"/>
      <c r="BB38" s="280" t="n">
        <f aca="false">IF(A38="","",1)</f>
        <v>1</v>
      </c>
    </row>
    <row r="39" customFormat="false" ht="12.75" hidden="false" customHeight="false" outlineLevel="0" collapsed="false">
      <c r="A39" s="493" t="s">
        <v>2204</v>
      </c>
      <c r="B39" s="494" t="n">
        <v>0.005</v>
      </c>
      <c r="C39" s="495" t="n">
        <v>0.01</v>
      </c>
      <c r="D39" s="477" t="str">
        <f aca="false">IF(ISERROR(VLOOKUP($A39,'liste reference'!$A$7:$D$904,2,0)),IF(ISERROR(VLOOKUP($A39,'liste reference'!$B$7:$D$904,1,0)),"",VLOOKUP($A39,'liste reference'!$B$7:$D$904,1,0)),VLOOKUP($A39,'liste reference'!$A$7:$D$904,2,0))</f>
        <v>Cyperus longus</v>
      </c>
      <c r="E39" s="496" t="e">
        <f aca="false">IF(D39="",0,VLOOKUP(D39,D$19:D34,1,0))</f>
        <v>#N/A</v>
      </c>
      <c r="F39" s="501" t="n">
        <f aca="false">($B39*$B$7+$C39*$C$7)/100</f>
        <v>0.0072</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Cyperus longus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1500</v>
      </c>
      <c r="Q39" s="486" t="n">
        <f aca="false">IF(ISTEXT(H39),"",(B39*$B$7/100)+(C39*$C$7/100))</f>
        <v>0.0072</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CYPLON</v>
      </c>
      <c r="Z39" s="280" t="n">
        <f aca="false">IF(ISERROR(MATCH(A39,'liste reference'!$A$8:$A$904,0)),IF(ISERROR(MATCH(A39,'liste reference'!$B$8:$B$904,0)),"",(MATCH(A39,'liste reference'!$B$8:$B$904,0))),(MATCH(A39,'liste reference'!$A$8:$A$904,0)))</f>
        <v>724</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X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Tartagine</v>
      </c>
      <c r="B84" s="529" t="str">
        <f aca="false">C3</f>
        <v>Castifao</v>
      </c>
      <c r="C84" s="530" t="n">
        <f aca="false">A4</f>
        <v>41821</v>
      </c>
      <c r="D84" s="531" t="n">
        <f aca="false">IF(ISERROR(SUM($T$23:$T$82)/SUM($U$23:$U$82)),"",SUM($T$23:$T$82)/SUM($U$23:$U$82))</f>
        <v>12.2222222222222</v>
      </c>
      <c r="E84" s="532" t="n">
        <f aca="false">N13</f>
        <v>17</v>
      </c>
      <c r="F84" s="529" t="n">
        <f aca="false">N14</f>
        <v>17</v>
      </c>
      <c r="G84" s="529" t="n">
        <f aca="false">N15</f>
        <v>5</v>
      </c>
      <c r="H84" s="529" t="n">
        <f aca="false">N16</f>
        <v>7</v>
      </c>
      <c r="I84" s="529" t="n">
        <f aca="false">N17</f>
        <v>1</v>
      </c>
      <c r="J84" s="533" t="n">
        <f aca="false">N8</f>
        <v>8.70588235294118</v>
      </c>
      <c r="K84" s="531" t="n">
        <f aca="false">N9</f>
        <v>5.68553071538365</v>
      </c>
      <c r="L84" s="532" t="n">
        <f aca="false">N10</f>
        <v>0</v>
      </c>
      <c r="M84" s="532" t="n">
        <f aca="false">N11</f>
        <v>15</v>
      </c>
      <c r="N84" s="531" t="n">
        <f aca="false">O8</f>
        <v>1.29411764705882</v>
      </c>
      <c r="O84" s="531" t="n">
        <f aca="false">O9</f>
        <v>0.89210299341783</v>
      </c>
      <c r="P84" s="532" t="n">
        <f aca="false">O10</f>
        <v>0</v>
      </c>
      <c r="Q84" s="532" t="n">
        <f aca="false">O11</f>
        <v>3</v>
      </c>
      <c r="R84" s="532" t="n">
        <f aca="false">F21</f>
        <v>1.1784</v>
      </c>
      <c r="S84" s="532" t="n">
        <f aca="false">K11</f>
        <v>0</v>
      </c>
      <c r="T84" s="532" t="n">
        <f aca="false">K12</f>
        <v>9</v>
      </c>
      <c r="U84" s="532" t="n">
        <f aca="false">K13</f>
        <v>5</v>
      </c>
      <c r="V84" s="534" t="n">
        <f aca="false">K14</f>
        <v>1</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30</v>
      </c>
      <c r="T87" s="280"/>
      <c r="U87" s="280"/>
      <c r="V87" s="280"/>
    </row>
    <row r="88" customFormat="false" ht="12.75" hidden="true" customHeight="false" outlineLevel="0" collapsed="false">
      <c r="P88" s="280"/>
      <c r="Q88" s="280" t="s">
        <v>2689</v>
      </c>
      <c r="R88" s="280"/>
      <c r="S88" s="488" t="n">
        <f aca="false">VLOOKUP((S87),($S$23:$U$82),2,0)</f>
        <v>60</v>
      </c>
      <c r="T88" s="280"/>
      <c r="U88" s="280"/>
      <c r="V88" s="280"/>
    </row>
    <row r="89" customFormat="false" ht="12.75" hidden="true" customHeight="false" outlineLevel="0" collapsed="false">
      <c r="Q89" s="280" t="s">
        <v>2690</v>
      </c>
      <c r="R89" s="280"/>
      <c r="S89" s="488" t="n">
        <f aca="false">VLOOKUP((S87),($S$23:$U$82),3,0)</f>
        <v>4</v>
      </c>
      <c r="T89" s="280"/>
    </row>
    <row r="90" customFormat="false" ht="12.75" hidden="false" customHeight="false" outlineLevel="0" collapsed="false">
      <c r="Q90" s="280" t="s">
        <v>2691</v>
      </c>
      <c r="R90" s="280"/>
      <c r="S90" s="538" t="n">
        <f aca="false">IF(ISERROR(SUM($T$23:$T$82)/SUM($U$23:$U$82)),"",(SUM($T$23:$T$82)-S88)/(SUM($U$23:$U$82)-S89))</f>
        <v>11.7391304347826</v>
      </c>
      <c r="T90" s="280"/>
    </row>
    <row r="91" customFormat="false" ht="12.75" hidden="false" customHeight="false" outlineLevel="0" collapsed="false">
      <c r="Q91" s="487" t="s">
        <v>2692</v>
      </c>
      <c r="R91" s="487"/>
      <c r="S91" s="487" t="str">
        <f aca="false">INDEX('liste reference'!$A$8:$A$904,$T$91)</f>
        <v>HILSPX</v>
      </c>
      <c r="T91" s="280" t="n">
        <f aca="false">IF(ISERROR(MATCH($S$93,'liste reference'!$A$8:$A$904,0)),MATCH($S$93,'liste reference'!$B$8:$B$904,0),(MATCH($S$93,'liste reference'!$A$8:$A$904,0)))</f>
        <v>30</v>
      </c>
      <c r="U91" s="527"/>
    </row>
    <row r="92" customFormat="false" ht="12.75" hidden="false" customHeight="false" outlineLevel="0" collapsed="false">
      <c r="Q92" s="280" t="s">
        <v>2693</v>
      </c>
      <c r="R92" s="280"/>
      <c r="S92" s="280" t="n">
        <f aca="false">MATCH(S87,$S$23:$S$82,0)</f>
        <v>3</v>
      </c>
      <c r="T92" s="280"/>
    </row>
    <row r="93" customFormat="false" ht="12.75" hidden="false" customHeight="false" outlineLevel="0" collapsed="false">
      <c r="Q93" s="487" t="s">
        <v>2694</v>
      </c>
      <c r="R93" s="280"/>
      <c r="S93" s="487" t="str">
        <f aca="false">INDEX($A$23:$A$82,$S$92)</f>
        <v>HILSPX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2015-03-20T12:03:05Z</dcterms:modified>
  <cp:revision>0</cp:revision>
  <dc:subject/>
  <dc:title>Feuille d'aide au calcul de l'IBMR</dc:title>
</cp:coreProperties>
</file>