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artagine a Castifao"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'Tartagine a Castifao'!$A$1:$Q$82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'Tartagine a Castifao'!$A$1:$C$1415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<sst xmlns="http://schemas.openxmlformats.org/spreadsheetml/2006/main" count="9999" uniqueCount="3494">
  <si>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</si>
  <si>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</si>
  <si>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</si>
  <si>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</si>
  <si>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</si>
  <si>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</si>
  <si>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</si>
  <si>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</si>
  <si>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</si>
  <si>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</si>
  <si>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</si>
  <si>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</si>
  <si>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</si>
  <si>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</si>
  <si>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</si>
  <si>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</si>
  <si>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</si>
  <si>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</si>
  <si>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</si>
  <si>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</si>
  <si>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</si>
  <si>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</si>
  <si>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</si>
  <si>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</si>
  <si>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</si>
  <si>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</si>
  <si>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</si>
  <si>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</si>
  <si>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</si>
  <si>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</si>
  <si>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</si>
  <si>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</si>
  <si>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</si>
  <si>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</si>
  <si>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</si>
  <si>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</si>
  <si>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</si>
  <si>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</si>
  <si>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</si>
  <si>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</si>
  <si>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</si>
  <si>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</si>
  <si>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</si>
  <si>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</si>
  <si>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</si>
  <si>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</si>
  <si>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</si>
  <si>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</si>
  <si>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</si>
  <si>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</si>
  <si>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</si>
  <si>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</si>
  <si>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</si>
  <si>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</si>
  <si>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</si>
  <si>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</si>
  <si>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</si>
  <si>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</si>
  <si>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</si>
  <si>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</si>
  <si>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</si>
  <si>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</si>
  <si>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</si>
  <si>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</si>
  <si>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</si>
  <si>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</si>
  <si>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</si>
  <si>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</si>
  <si>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</si>
  <si>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</si>
  <si>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</si>
  <si>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</si>
  <si>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</si>
  <si>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</si>
  <si>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</si>
  <si>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</si>
  <si>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</si>
  <si>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</si>
  <si>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</si>
  <si>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</si>
  <si>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</si>
  <si>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</si>
  <si>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</si>
  <si>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</si>
  <si>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</si>
  <si>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</si>
  <si>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</si>
  <si>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</si>
  <si>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</si>
  <si>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</si>
  <si>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</si>
  <si>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</si>
  <si>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</si>
  <si>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</si>
  <si>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</si>
  <si>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</si>
  <si>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</si>
  <si>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</si>
  <si>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</si>
  <si>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</si>
  <si>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</si>
  <si>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</si>
  <si>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</si>
  <si>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</si>
  <si>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</si>
  <si>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</si>
  <si>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</si>
  <si>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</si>
  <si>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</si>
  <si>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</si>
  <si>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</si>
  <si>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</si>
  <si>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</si>
  <si>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</si>
  <si>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</si>
  <si>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</si>
  <si>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</si>
  <si>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</si>
  <si>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</si>
  <si>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</si>
  <si>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</si>
  <si>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</si>
  <si>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</si>
  <si>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</si>
  <si>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</si>
  <si>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</si>
  <si>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</si>
  <si>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</si>
  <si>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</si>
  <si>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</si>
  <si>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</si>
  <si>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</si>
  <si>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</si>
  <si>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</si>
  <si>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</si>
  <si>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</si>
  <si>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</si>
  <si>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</si>
  <si>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</si>
  <si>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</si>
  <si>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</si>
  <si>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</si>
  <si>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</si>
  <si>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</si>
  <si>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</si>
  <si>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</si>
  <si>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</si>
  <si>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</si>
  <si>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</si>
  <si>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</si>
  <si>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</si>
  <si>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</si>
  <si>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</si>
  <si>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</si>
  <si>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</si>
  <si>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</si>
  <si>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</si>
  <si>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</si>
  <si>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</si>
  <si>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</si>
  <si>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</si>
  <si>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</si>
  <si>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</si>
  <si>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</si>
  <si>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</si>
  <si>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</si>
  <si>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</si>
  <si>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</si>
  <si>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</si>
  <si>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</si>
  <si>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</si>
  <si>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</si>
  <si>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</si>
  <si>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</si>
  <si>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</si>
  <si>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</si>
  <si>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</si>
  <si>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</si>
  <si>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</si>
  <si>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</si>
  <si>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</si>
  <si>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</si>
  <si>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</si>
  <si>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</si>
  <si>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</si>
  <si>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</si>
  <si>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</si>
  <si>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</si>
  <si>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</si>
  <si>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</si>
  <si>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</si>
  <si>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</si>
  <si>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</si>
  <si>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</si>
  <si>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</si>
  <si>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</si>
  <si>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</si>
  <si>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</si>
  <si>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</si>
  <si>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</si>
  <si>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</si>
  <si>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</si>
  <si>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</si>
  <si>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</si>
  <si>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</si>
  <si>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</si>
  <si>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</si>
  <si>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</si>
  <si>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</si>
  <si>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</si>
  <si>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</si>
  <si>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</si>
  <si>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</si>
  <si>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</si>
  <si>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</si>
  <si>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</si>
  <si>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</si>
  <si>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</si>
  <si>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</si>
  <si>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</si>
  <si>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</si>
  <si>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</si>
  <si>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</si>
  <si>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</si>
  <si>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</si>
  <si>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</si>
  <si>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</si>
  <si>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</si>
  <si>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</si>
  <si>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</si>
  <si>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</si>
  <si>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</si>
  <si>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</si>
  <si>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</si>
  <si>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</si>
  <si>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</si>
  <si>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</si>
  <si>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</si>
  <si>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</si>
  <si>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</si>
  <si>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</si>
  <si>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</si>
  <si>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</si>
  <si>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</si>
  <si>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</si>
  <si>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</si>
  <si>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</si>
  <si>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</si>
  <si>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</si>
  <si>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</si>
  <si>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</si>
  <si>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</si>
  <si>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</si>
  <si>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</si>
  <si>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</si>
  <si>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</si>
  <si>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</si>
  <si>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</si>
  <si>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</si>
  <si>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</si>
  <si>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</si>
  <si>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</si>
  <si>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</si>
  <si>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</si>
  <si>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</si>
  <si>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</si>
  <si>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</si>
  <si>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</si>
  <si>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</si>
  <si>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</si>
  <si>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</si>
  <si>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</si>
  <si>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</si>
  <si>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</si>
  <si>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</si>
  <si>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</si>
  <si>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</si>
  <si>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</si>
  <si>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</si>
  <si>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</si>
  <si>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</si>
  <si>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</si>
  <si>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</si>
  <si>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</si>
  <si>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</si>
  <si>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</si>
  <si>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</si>
  <si>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</si>
  <si>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</si>
  <si>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</si>
  <si>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</si>
  <si>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</si>
  <si>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</si>
  <si>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</si>
  <si>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</si>
  <si>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</si>
  <si>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</si>
  <si>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</si>
  <si>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</si>
  <si>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</si>
  <si>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</si>
  <si>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</si>
  <si>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</si>
  <si>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</si>
  <si>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</si>
  <si>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</si>
  <si>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</si>
  <si>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</si>
  <si>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</si>
  <si>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</si>
  <si>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</si>
  <si>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</si>
  <si>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</si>
  <si>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</si>
  <si>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</si>
  <si>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</si>
  <si>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</si>
  <si>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</si>
  <si>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</si>
  <si>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</si>
  <si>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</si>
  <si>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</si>
  <si>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</si>
  <si>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</si>
  <si>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</si>
  <si>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</si>
  <si>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</si>
  <si>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</si>
  <si>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</si>
  <si>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</si>
  <si>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</si>
  <si>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</si>
  <si>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</si>
  <si>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</si>
  <si>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</si>
  <si>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</si>
  <si>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</si>
  <si>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</si>
  <si>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</si>
  <si>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</si>
  <si>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</si>
  <si>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</si>
  <si>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</si>
  <si>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</si>
  <si>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</si>
  <si>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</si>
  <si>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</si>
  <si>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</si>
  <si>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</si>
  <si>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</si>
  <si>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</si>
  <si>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</si>
  <si>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</si>
  <si>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</si>
  <si>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</si>
  <si>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</si>
  <si>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</si>
  <si>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</si>
  <si>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</si>
  <si>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</si>
  <si>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</si>
  <si>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</si>
  <si>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</si>
  <si>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</si>
  <si>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</si>
  <si>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</si>
  <si>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</si>
  <si>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</si>
  <si>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</si>
  <si>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</si>
  <si>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</si>
  <si>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</si>
  <si>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</si>
  <si>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</si>
  <si>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</si>
  <si>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</si>
  <si>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</si>
  <si>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</si>
  <si>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</si>
  <si>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</si>
  <si>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</si>
  <si>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</si>
  <si>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</si>
  <si>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</si>
  <si>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</si>
  <si>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</si>
  <si>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</si>
  <si>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</si>
  <si>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</si>
  <si>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</si>
  <si>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</si>
  <si>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</si>
  <si>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</si>
  <si>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</si>
  <si>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</si>
  <si>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</si>
  <si>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</si>
  <si>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</si>
  <si>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</si>
  <si>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</si>
  <si>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</si>
  <si>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</si>
  <si>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</si>
  <si>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</si>
  <si>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</si>
  <si>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</si>
  <si>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</si>
  <si>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</si>
  <si>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</si>
  <si>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</si>
  <si>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</si>
  <si>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</si>
  <si>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</si>
  <si>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</si>
  <si>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</si>
  <si>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</si>
  <si>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</si>
  <si>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</si>
  <si>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</si>
  <si>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</si>
  <si>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</si>
  <si>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</si>
  <si>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</si>
  <si>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</si>
  <si>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</si>
  <si>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</si>
  <si>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</si>
  <si>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</si>
  <si>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</si>
  <si>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</si>
  <si>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</si>
  <si>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</si>
  <si>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</si>
  <si>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</si>
  <si>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</si>
  <si>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</si>
  <si>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</si>
  <si>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</si>
  <si>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</si>
  <si>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</si>
  <si>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</si>
  <si>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</si>
  <si>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</si>
  <si>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</si>
  <si>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</si>
  <si>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</si>
  <si>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</si>
  <si>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</si>
  <si>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</si>
  <si>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</si>
  <si>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</si>
  <si>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</si>
  <si>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</si>
  <si>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</si>
  <si>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</si>
  <si>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</si>
  <si>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</si>
  <si>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</si>
  <si>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</si>
  <si>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</si>
  <si>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</si>
  <si>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</si>
  <si>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</si>
  <si>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</si>
  <si>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</si>
  <si>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</si>
  <si>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</si>
  <si>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</si>
  <si>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</si>
  <si>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</si>
  <si>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</si>
  <si>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</si>
  <si>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</si>
  <si>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</si>
  <si>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</si>
  <si>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</si>
  <si>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</si>
  <si>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</si>
  <si>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</si>
  <si>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</si>
  <si>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</si>
  <si>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</si>
  <si>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</si>
  <si>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</si>
  <si>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</si>
  <si>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</si>
  <si>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</si>
  <si>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</si>
  <si>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</si>
  <si>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</si>
  <si>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</si>
  <si>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</si>
  <si>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</si>
  <si>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</si>
  <si>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</si>
  <si>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</si>
  <si>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</si>
  <si>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</si>
  <si>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</si>
  <si>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</si>
  <si>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</si>
  <si>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</si>
  <si>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</si>
  <si>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</si>
  <si>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</si>
  <si>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</si>
  <si>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</si>
  <si>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</si>
  <si>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</si>
  <si>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</si>
  <si>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</si>
  <si>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</si>
  <si>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</si>
  <si>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</si>
  <si>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</si>
  <si>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</si>
  <si>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</si>
  <si>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</si>
  <si>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</si>
  <si>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</si>
  <si>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</si>
  <si>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</si>
  <si>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</si>
  <si>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</si>
  <si>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</si>
  <si>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</si>
  <si>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</si>
  <si>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</si>
  <si>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</si>
  <si>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</si>
  <si>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</si>
  <si>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</si>
  <si>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</si>
  <si>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</si>
  <si>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</si>
  <si>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</si>
  <si>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</si>
  <si>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</si>
  <si>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</si>
  <si>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</si>
  <si>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</si>
  <si>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</si>
  <si>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</si>
  <si>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</si>
  <si>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</si>
  <si>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</si>
  <si>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</si>
  <si>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</si>
  <si>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</si>
  <si>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</si>
  <si>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</si>
  <si>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</si>
  <si>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</si>
  <si>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</si>
  <si>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</si>
  <si>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</si>
  <si>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</si>
  <si>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</si>
  <si>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</si>
  <si>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</si>
  <si>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</si>
  <si>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</si>
  <si>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</si>
  <si>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</si>
  <si>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</si>
  <si>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</si>
  <si>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</si>
  <si>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</si>
  <si>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</si>
  <si>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</si>
  <si>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</si>
  <si>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</si>
  <si>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</si>
  <si>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</si>
  <si>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</si>
  <si>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</si>
  <si>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</si>
  <si>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</si>
  <si>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</si>
  <si>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</si>
  <si>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</si>
  <si>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</si>
  <si>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</si>
  <si>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</si>
  <si>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</si>
  <si>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</si>
  <si>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</si>
  <si>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</si>
  <si>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</si>
  <si>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</si>
  <si>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</si>
  <si>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</si>
  <si>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</si>
  <si>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</si>
  <si>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</si>
  <si>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</si>
  <si>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</si>
  <si>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</si>
  <si>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</si>
  <si>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</si>
  <si>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</si>
  <si>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</si>
  <si>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</si>
  <si>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</si>
  <si>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</si>
  <si>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</si>
  <si>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</si>
  <si>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</si>
  <si>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</si>
  <si>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</si>
  <si>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</si>
  <si>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</si>
  <si>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</si>
  <si>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</si>
  <si>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</si>
  <si>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</si>
  <si>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</si>
  <si>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</si>
  <si>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</si>
  <si>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</si>
  <si>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</si>
  <si>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</si>
  <si>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</si>
  <si>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</si>
  <si>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</si>
  <si>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</si>
  <si>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</si>
  <si>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</si>
  <si>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</si>
  <si>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</si>
  <si>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</si>
  <si>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</si>
  <si>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</si>
  <si>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</si>
  <si>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</si>
  <si>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</si>
  <si>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</si>
  <si>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</si>
  <si>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</si>
  <si>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</si>
  <si>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</si>
  <si>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</si>
  <si>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</si>
  <si>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</si>
  <si>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</si>
  <si>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</si>
  <si>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</si>
  <si>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</si>
  <si>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</si>
  <si>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</si>
  <si>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</si>
  <si>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</si>
  <si>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</si>
  <si>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</si>
  <si>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</si>
  <si>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</si>
  <si>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</si>
  <si>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</si>
  <si>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</si>
  <si>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</si>
  <si>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</si>
  <si>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</si>
  <si>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</si>
  <si>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</si>
  <si>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</si>
  <si>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</si>
  <si>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</si>
  <si>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</si>
  <si>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</si>
  <si>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</si>
  <si>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</si>
  <si>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</si>
  <si>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</si>
  <si>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</si>
  <si>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</si>
  <si>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</si>
  <si>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</si>
  <si>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</si>
  <si>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</si>
  <si>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</si>
  <si>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</si>
  <si>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</si>
  <si>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</si>
  <si>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</si>
  <si>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</si>
  <si>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</si>
  <si>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</si>
  <si>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</si>
  <si>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</si>
  <si>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</si>
  <si>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</si>
  <si>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</si>
  <si>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</si>
  <si>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</si>
  <si>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</si>
  <si>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</si>
  <si>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</si>
  <si>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</si>
  <si>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</si>
  <si>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</si>
  <si>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</si>
  <si>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</si>
  <si>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</si>
  <si>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</si>
  <si>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</si>
  <si>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</si>
  <si>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</si>
  <si>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</si>
  <si>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</si>
  <si>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</si>
  <si>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</si>
  <si>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</si>
  <si>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</si>
  <si>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</si>
  <si>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</si>
  <si>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</si>
  <si>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</si>
  <si>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</si>
  <si>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</si>
  <si>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</si>
  <si>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</si>
  <si>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</si>
  <si>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</si>
  <si>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</si>
  <si>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</si>
  <si>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</si>
  <si>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</si>
  <si>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</si>
  <si>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</si>
  <si>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</si>
  <si>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</si>
  <si>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</si>
  <si>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</si>
  <si>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</si>
  <si>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</si>
  <si>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</si>
  <si>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</si>
  <si>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</si>
  <si>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</si>
  <si>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</si>
  <si>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</si>
  <si>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</si>
  <si>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</si>
  <si>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</si>
  <si>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</si>
  <si>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</si>
  <si>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</si>
  <si>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</si>
  <si>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</si>
  <si>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</si>
  <si>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</si>
  <si>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</si>
  <si>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</si>
  <si>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</si>
  <si>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</si>
  <si>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</si>
  <si>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</si>
  <si>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</si>
  <si>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</si>
  <si>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</si>
  <si>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</si>
  <si>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</si>
  <si>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</si>
  <si>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</si>
  <si>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</si>
  <si>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</si>
  <si>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</si>
  <si>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</si>
  <si>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</si>
  <si>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</si>
  <si>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</si>
  <si>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</si>
  <si>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</si>
  <si>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</si>
  <si>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</si>
  <si>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</si>
  <si>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</si>
  <si>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</si>
  <si>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</si>
  <si>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</si>
  <si>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</si>
  <si>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</si>
  <si>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</si>
  <si>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</si>
  <si>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</si>
  <si>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</si>
  <si>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</si>
  <si>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</si>
  <si>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</si>
  <si>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</si>
  <si>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</si>
  <si>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</si>
  <si>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</si>
  <si>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</si>
  <si>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</si>
  <si>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</si>
  <si>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</si>
  <si>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</si>
  <si>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</si>
  <si>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</si>
  <si>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</si>
  <si>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</si>
  <si>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</si>
  <si>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</si>
  <si>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</si>
  <si>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</si>
  <si>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</si>
  <si>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</si>
  <si>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</si>
  <si>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</si>
  <si>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</si>
  <si>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</si>
  <si>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</si>
  <si>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</si>
  <si>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</si>
  <si>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</si>
  <si>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</si>
  <si>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</si>
  <si>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</si>
  <si>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</si>
  <si>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</si>
  <si>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</si>
  <si>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</si>
  <si>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</si>
  <si>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</si>
  <si>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</si>
  <si>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</si>
  <si>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</si>
  <si>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</si>
  <si>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</si>
  <si>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</si>
  <si>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</si>
  <si>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</si>
  <si>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</si>
  <si>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</si>
  <si>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</si>
  <si>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</si>
  <si>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</si>
  <si>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</si>
  <si>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</si>
  <si>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</si>
  <si>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</si>
  <si>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</si>
  <si>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</si>
  <si>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</si>
  <si>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</si>
  <si>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</si>
  <si>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</si>
  <si>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</si>
  <si>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</si>
  <si>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</si>
  <si>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</si>
  <si>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</si>
  <si>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</si>
  <si>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</si>
  <si>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</si>
  <si>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</si>
  <si>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</si>
  <si>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</si>
  <si>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</si>
  <si>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</si>
  <si>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</si>
  <si>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</si>
  <si>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</si>
  <si>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</si>
  <si>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</si>
  <si>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</si>
  <si>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</si>
  <si>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</si>
  <si>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</si>
  <si>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</si>
  <si>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</si>
  <si>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</si>
  <si>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</si>
  <si>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</si>
  <si>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</si>
  <si>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</si>
  <si>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</si>
  <si>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</si>
  <si>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</si>
  <si>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</si>
  <si>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</si>
  <si>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</si>
  <si>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</si>
  <si>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</si>
  <si>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</si>
  <si>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</si>
  <si>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</si>
  <si>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</si>
  <si>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</si>
  <si>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</si>
  <si>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</si>
  <si>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</si>
  <si>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</si>
  <si>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</si>
  <si>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</si>
  <si>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</si>
  <si>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</si>
  <si>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</si>
  <si>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</si>
  <si>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</si>
  <si>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</si>
  <si>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</si>
  <si>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</si>
  <si>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</si>
  <si>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</si>
  <si>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</si>
  <si>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</si>
  <si>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</si>
  <si>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</si>
  <si>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</si>
  <si>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</si>
  <si>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</si>
  <si>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</si>
  <si>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</si>
  <si>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</si>
  <si>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</si>
  <si>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</si>
  <si>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</si>
  <si>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</si>
  <si>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</si>
  <si>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</si>
  <si>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</si>
  <si>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</si>
  <si>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</si>
  <si>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</si>
  <si>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</si>
  <si>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</si>
  <si>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</si>
  <si>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</si>
  <si>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</si>
  <si>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</si>
  <si>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</si>
  <si>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</si>
  <si>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</si>
  <si>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</si>
  <si>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</si>
  <si>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</si>
  <si>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</si>
  <si>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</si>
  <si>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</si>
  <si>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</si>
  <si>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</si>
  <si>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</si>
  <si>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</si>
  <si>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</si>
  <si>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</si>
  <si>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</si>
  <si>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</si>
  <si>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</si>
  <si>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</si>
  <si>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</si>
  <si>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</si>
  <si>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</si>
  <si>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</si>
  <si>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</si>
  <si>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</si>
  <si>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</si>
  <si>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</si>
  <si>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</si>
  <si>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</si>
  <si>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</si>
  <si>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</si>
  <si>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</si>
  <si>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</si>
  <si>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</si>
  <si>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</si>
  <si>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</si>
  <si>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</si>
  <si>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</si>
  <si>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</si>
  <si>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</si>
  <si>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</si>
  <si>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</si>
  <si>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</si>
  <si>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</si>
  <si>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</si>
  <si>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</si>
  <si>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</si>
  <si>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</si>
  <si>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</si>
  <si>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</si>
  <si>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</si>
  <si>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</si>
  <si>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</si>
  <si>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</si>
  <si>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</si>
  <si>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</si>
  <si>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</si>
  <si>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</si>
  <si>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</si>
  <si>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</si>
  <si>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</si>
  <si>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</si>
  <si>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</si>
  <si>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</si>
  <si>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</si>
  <si>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</si>
  <si>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</si>
  <si>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</si>
  <si>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</si>
  <si>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</si>
  <si>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</si>
  <si>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</si>
  <si>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</si>
  <si>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</si>
  <si>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</si>
  <si>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</si>
  <si>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</si>
  <si>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</si>
  <si>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</si>
  <si>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</si>
  <si>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</si>
  <si>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</si>
  <si>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</si>
  <si>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</si>
  <si>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</si>
  <si>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</si>
  <si>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</si>
  <si>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</si>
  <si>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</si>
  <si>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</si>
  <si>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</si>
  <si>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</si>
  <si>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</si>
  <si>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</si>
  <si>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</si>
  <si>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</si>
  <si>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</si>
  <si>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</si>
  <si>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</si>
  <si>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</si>
  <si>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</si>
  <si>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</si>
  <si>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</si>
  <si>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</si>
  <si>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</si>
  <si>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</si>
  <si>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</si>
  <si>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</si>
  <si>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</si>
  <si>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</si>
  <si>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</si>
  <si>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</si>
  <si>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</si>
  <si>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</si>
  <si>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</si>
  <si>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</si>
  <si>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</si>
  <si>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</si>
  <si>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</si>
  <si>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</si>
  <si>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</si>
  <si>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</si>
  <si>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</si>
  <si>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</si>
  <si>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</si>
  <si>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</si>
  <si>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</si>
  <si>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</si>
  <si>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</si>
  <si>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</si>
  <si>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</si>
  <si>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</si>
  <si>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</si>
  <si>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</si>
  <si>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</si>
  <si>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</si>
  <si>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</si>
  <si>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</si>
  <si>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</si>
  <si>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</si>
  <si>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</si>
  <si>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</si>
  <si>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</si>
  <si>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</si>
  <si>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</si>
  <si>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</si>
  <si>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</si>
  <si>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</si>
  <si>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</si>
  <si>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</si>
  <si>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</si>
  <si>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</si>
  <si>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</si>
  <si>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</si>
  <si>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</si>
  <si>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</si>
  <si>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</si>
  <si>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</si>
  <si>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</si>
  <si>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</si>
  <si>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</si>
  <si>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</si>
  <si>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</si>
  <si>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</si>
  <si>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</si>
  <si>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</si>
  <si>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</si>
  <si>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</si>
  <si>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</si>
  <si>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</si>
  <si>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</si>
  <si>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</si>
  <si>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</si>
  <si>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</si>
  <si>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</si>
  <si>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</si>
  <si>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</si>
  <si>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</si>
  <si>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</si>
  <si>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</si>
  <si>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</si>
  <si>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</si>
  <si>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</si>
  <si>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</si>
  <si>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</si>
  <si>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</si>
  <si>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</si>
  <si>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</si>
  <si>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</si>
  <si>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</si>
  <si>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</si>
  <si>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</si>
  <si>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</si>
  <si>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</si>
  <si>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</si>
  <si>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</si>
  <si>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</si>
  <si>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</si>
  <si>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</si>
  <si>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</si>
  <si>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</si>
  <si>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</si>
  <si>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</si>
  <si>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</si>
  <si>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</si>
  <si>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</si>
  <si>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</si>
  <si>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</si>
  <si>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</si>
  <si>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</si>
  <si>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</si>
  <si>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</si>
  <si>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</si>
  <si>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</si>
  <si>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</si>
  <si>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</si>
  <si>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</si>
  <si>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</si>
  <si>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</si>
  <si>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</si>
  <si>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</si>
  <si>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</si>
  <si>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</si>
  <si>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</si>
  <si>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</si>
  <si>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</si>
  <si>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</si>
  <si>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</si>
  <si>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</si>
  <si>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</si>
  <si>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</si>
  <si>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</si>
  <si>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</si>
  <si>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</si>
  <si>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</si>
  <si>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</si>
  <si>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</si>
  <si>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</si>
  <si>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</si>
  <si>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</si>
  <si>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</si>
  <si>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</si>
  <si>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</si>
  <si>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</si>
  <si>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</si>
  <si>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</si>
  <si>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</si>
  <si>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</si>
  <si>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</si>
  <si>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</si>
  <si>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</si>
  <si>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</si>
  <si>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</si>
  <si>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</si>
  <si>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</si>
  <si>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</si>
  <si>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</si>
  <si>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</si>
  <si>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</si>
  <si>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</si>
  <si>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</si>
  <si>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</si>
  <si>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</si>
  <si>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</si>
  <si>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</si>
  <si>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</si>
  <si>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</si>
  <si>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</si>
  <si>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</si>
  <si>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</si>
  <si>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</si>
  <si>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</si>
  <si>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</si>
  <si>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</si>
  <si>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</si>
  <si>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</si>
  <si>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</si>
  <si>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</si>
  <si>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</si>
  <si>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</si>
  <si>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</si>
  <si>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</si>
  <si>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</si>
  <si>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</si>
  <si>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</si>
  <si>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</si>
  <si>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</si>
  <si>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</si>
  <si>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</si>
  <si>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</si>
  <si>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</si>
  <si>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</si>
  <si>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</si>
  <si>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</si>
  <si>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</si>
  <si>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</si>
  <si>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</si>
  <si>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</si>
  <si>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</si>
  <si>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</si>
  <si>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</si>
  <si>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</si>
  <si>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</si>
  <si>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</si>
  <si>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</si>
  <si>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</si>
  <si>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</si>
  <si>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</si>
  <si>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</si>
  <si>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</si>
  <si>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</si>
  <si>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</si>
  <si>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</si>
  <si>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</si>
  <si>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</si>
  <si>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</si>
  <si>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</si>
  <si>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</si>
  <si>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</si>
  <si>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</si>
  <si>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</si>
  <si>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</si>
  <si>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</si>
  <si>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</si>
  <si>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</si>
  <si>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</si>
  <si>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</si>
  <si>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</si>
  <si>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</si>
  <si>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</si>
  <si>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</si>
  <si>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</si>
  <si>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</si>
  <si>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</si>
  <si>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</si>
  <si>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</si>
  <si>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</si>
  <si>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</si>
  <si>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</si>
  <si>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</si>
  <si>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</si>
  <si>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</si>
  <si>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</si>
  <si>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</si>
  <si>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</si>
  <si>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</si>
  <si>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</si>
  <si>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</si>
  <si>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</si>
  <si>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</si>
  <si>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</si>
  <si>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</si>
  <si>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</si>
  <si>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</si>
  <si>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</si>
  <si>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</si>
  <si>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</si>
  <si>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</si>
  <si>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</si>
  <si>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</si>
  <si>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</si>
  <si>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</si>
  <si>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</si>
  <si>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</si>
  <si>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</si>
  <si>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</si>
  <si>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</si>
  <si>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</si>
  <si>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</si>
  <si>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</si>
  <si>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</si>
  <si>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</si>
  <si>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</si>
  <si>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</si>
  <si>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</si>
  <si>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</si>
  <si>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</si>
  <si>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</si>
  <si>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</si>
  <si>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</si>
  <si>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</si>
  <si>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</si>
  <si>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</si>
  <si>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</si>
  <si>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</si>
  <si>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</si>
  <si>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</si>
  <si>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</si>
  <si>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</si>
  <si>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</si>
  <si>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</si>
  <si>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</si>
  <si>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</si>
  <si>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</si>
  <si>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</si>
  <si>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</si>
  <si>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</si>
  <si>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</si>
  <si>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</si>
  <si>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</si>
  <si>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</si>
  <si>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</si>
  <si>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</si>
  <si>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</si>
  <si>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</si>
  <si>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</si>
  <si>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</si>
  <si>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</si>
  <si>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</si>
  <si>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</si>
  <si>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</si>
  <si>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</si>
  <si>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</si>
  <si>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</si>
  <si>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</si>
  <si>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</si>
  <si>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</si>
  <si>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</si>
  <si>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</si>
  <si>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</si>
  <si>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</si>
  <si>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</si>
  <si>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</si>
  <si>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</si>
  <si>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</si>
  <si>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</si>
  <si>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</si>
  <si>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</si>
  <si>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</si>
  <si>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</si>
  <si>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</si>
  <si>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</si>
  <si>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</si>
  <si>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</si>
  <si>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</si>
  <si>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</si>
  <si>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</si>
  <si>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</si>
  <si>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</si>
  <si>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</si>
  <si>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</si>
  <si>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</si>
  <si>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</si>
  <si>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</si>
  <si>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</si>
  <si>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</si>
  <si>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</si>
  <si>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</si>
  <si>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</si>
  <si>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</si>
  <si>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</si>
  <si>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</si>
  <si>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</si>
  <si>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</si>
  <si>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</si>
  <si>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</si>
  <si>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</si>
  <si>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</si>
  <si>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</si>
  <si>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</si>
  <si>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</si>
  <si>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</si>
  <si>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</si>
  <si>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</si>
  <si>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</si>
  <si>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</si>
  <si>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</si>
  <si>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</si>
  <si>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</si>
  <si>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</si>
  <si>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</si>
  <si>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</si>
  <si>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</si>
  <si>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</si>
  <si>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</si>
  <si>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</si>
  <si>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</si>
  <si>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</si>
  <si>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</si>
  <si>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</si>
  <si>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</si>
  <si>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</si>
  <si>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</si>
  <si>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</si>
  <si>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</si>
  <si>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</si>
  <si>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</si>
  <si>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</si>
  <si>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</si>
  <si>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</si>
  <si>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</si>
  <si>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</si>
  <si>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</si>
  <si>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</si>
  <si>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</si>
  <si>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</si>
  <si>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</si>
  <si>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</si>
  <si>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</si>
  <si>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</si>
  <si>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</si>
  <si>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</si>
  <si>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</si>
  <si>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</si>
  <si>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</si>
  <si>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</si>
  <si>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</si>
  <si>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</si>
  <si>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</si>
  <si>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</si>
  <si>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</si>
  <si>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</si>
  <si>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</si>
  <si>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</si>
  <si>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</si>
  <si>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</si>
  <si>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</si>
  <si>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</si>
  <si>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</si>
  <si>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</si>
  <si>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</si>
  <si>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</si>
  <si>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</si>
  <si>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</si>
  <si>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</si>
  <si>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</si>
  <si>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</si>
  <si>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</si>
  <si>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</si>
  <si>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</si>
  <si>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</si>
  <si>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</si>
  <si>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</si>
  <si>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</si>
  <si>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</si>
  <si>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</si>
  <si>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</si>
  <si>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</si>
  <si>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</si>
  <si>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</si>
  <si>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</si>
  <si>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</si>
  <si>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</si>
  <si>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</si>
  <si>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</si>
  <si>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</si>
  <si>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</si>
  <si>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</si>
  <si>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</si>
  <si>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</si>
  <si>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</si>
  <si>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</si>
  <si>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</si>
  <si>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</si>
  <si>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</si>
  <si>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</si>
  <si>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</si>
  <si>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</si>
  <si>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</si>
  <si>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</si>
  <si>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</si>
  <si>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</si>
  <si>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</si>
  <si>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</si>
  <si>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</si>
  <si>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</si>
  <si>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</si>
  <si>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</si>
  <si>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</si>
  <si>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</si>
  <si>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</si>
  <si>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</si>
  <si>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</si>
  <si>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</si>
  <si>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</si>
  <si>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</si>
  <si>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</si>
  <si>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</si>
  <si>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</si>
  <si>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</si>
  <si>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</si>
  <si>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</si>
  <si>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</si>
  <si>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</si>
  <si>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</si>
  <si>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</si>
  <si>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</si>
  <si>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</si>
  <si>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</si>
  <si>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</si>
  <si>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</si>
  <si>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</si>
  <si>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</si>
  <si>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</si>
  <si>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</si>
  <si>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</si>
  <si>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</si>
  <si>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</si>
  <si>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</si>
  <si>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</si>
  <si>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</si>
  <si>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</si>
  <si>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</si>
  <si>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</si>
  <si>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</si>
  <si>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</si>
  <si>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</si>
  <si>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</si>
  <si>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</si>
  <si>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</si>
  <si>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</si>
  <si>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</si>
  <si>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</si>
  <si>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</si>
  <si>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</si>
  <si>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</si>
  <si>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</si>
  <si>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</si>
  <si>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</si>
  <si>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</si>
  <si>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</si>
  <si>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</si>
  <si>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</si>
  <si>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</si>
  <si>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</si>
  <si>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</si>
  <si>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</si>
  <si>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</si>
  <si>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</si>
  <si>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</si>
  <si>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</si>
  <si>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</si>
  <si>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</si>
  <si>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</si>
  <si>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</si>
  <si>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</si>
  <si>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</si>
  <si>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</si>
  <si>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</si>
  <si>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</si>
  <si>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</si>
  <si>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</si>
  <si>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</si>
  <si>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</si>
  <si>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</si>
  <si>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</si>
  <si>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</si>
  <si>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</si>
  <si>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</si>
  <si>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</si>
  <si>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</si>
  <si>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</si>
  <si>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</si>
  <si>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</si>
  <si>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</si>
  <si>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</si>
  <si>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</si>
  <si>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</si>
  <si>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</si>
  <si>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</si>
  <si>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</si>
  <si>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</si>
  <si>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</si>
  <si>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</si>
  <si>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</si>
  <si>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</si>
  <si>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</si>
  <si>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</si>
  <si>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</si>
  <si>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</si>
  <si>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</si>
  <si>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</si>
  <si>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</si>
  <si>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</si>
  <si>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</si>
  <si>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</si>
  <si>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</si>
  <si>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</si>
  <si>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</si>
  <si>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</si>
  <si>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</si>
  <si>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</si>
  <si>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</si>
  <si>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</si>
  <si>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</si>
  <si>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</si>
  <si>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</si>
  <si>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</si>
  <si>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</si>
  <si>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</si>
  <si>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</si>
  <si>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</si>
  <si>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</si>
  <si>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</si>
  <si>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</si>
  <si>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</si>
  <si>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</si>
  <si>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</si>
  <si>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</si>
  <si>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</si>
  <si>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</si>
  <si>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</si>
  <si>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</si>
  <si>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</si>
  <si>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</si>
  <si>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</si>
  <si>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</si>
  <si>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</si>
  <si>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</si>
  <si>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</si>
  <si>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</si>
  <si>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</si>
  <si>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</si>
  <si>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</si>
  <si>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</si>
  <si>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</si>
  <si>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</si>
  <si>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</si>
  <si>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</si>
  <si>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</si>
  <si>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</si>
  <si>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</si>
  <si>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</si>
  <si>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</si>
  <si>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</si>
  <si>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</si>
  <si>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</si>
  <si>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</si>
  <si>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</si>
  <si>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</si>
  <si>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</si>
  <si>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</si>
  <si>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</si>
  <si>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</si>
  <si>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</si>
  <si>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</si>
  <si>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</si>
  <si>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</si>
  <si>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</si>
  <si>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</si>
  <si>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</si>
  <si>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</si>
  <si>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</si>
  <si>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</si>
  <si>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</si>
  <si>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</si>
  <si>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</si>
  <si>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</si>
  <si>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</si>
  <si>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</si>
  <si>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</si>
  <si>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</si>
  <si>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</si>
  <si>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</si>
  <si>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</si>
  <si>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</si>
  <si>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</si>
  <si>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</si>
  <si>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</si>
  <si>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</si>
  <si>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</si>
  <si>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</si>
  <si>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</si>
  <si>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</si>
  <si>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</si>
  <si>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</si>
  <si>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</si>
  <si>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</si>
  <si>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</si>
  <si>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</si>
  <si>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</si>
  <si>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</si>
  <si>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</si>
  <si>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</si>
  <si>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</si>
  <si>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</si>
  <si>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</si>
  <si>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</si>
  <si>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</si>
  <si>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</si>
  <si>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</si>
  <si>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</si>
  <si>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</si>
  <si>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</si>
  <si>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</si>
  <si>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</si>
  <si>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</si>
  <si>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</si>
  <si>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</si>
  <si>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</si>
  <si>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</si>
  <si>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</si>
  <si>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</si>
  <si>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</si>
  <si>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</si>
  <si>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</si>
  <si>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</si>
  <si>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</si>
  <si>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</si>
  <si>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</si>
  <si>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</si>
  <si>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</si>
  <si>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</si>
  <si>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</si>
  <si>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</si>
  <si>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</si>
  <si>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</si>
  <si>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</si>
  <si>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</si>
  <si>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</si>
  <si>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</si>
  <si>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</si>
  <si>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</si>
  <si>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</si>
  <si>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</si>
  <si>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</si>
  <si>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</si>
  <si>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</si>
  <si>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</si>
  <si>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</si>
  <si>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</si>
  <si>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</si>
  <si>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</si>
  <si>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</si>
  <si>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</si>
  <si>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</si>
  <si>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</si>
  <si>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</si>
  <si>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</si>
  <si>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</si>
  <si>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</si>
  <si>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</si>
  <si>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</si>
  <si>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</si>
  <si>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</si>
  <si>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</si>
  <si>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</si>
  <si>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</si>
  <si>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</si>
  <si>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</si>
  <si>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</si>
  <si>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</si>
  <si>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</si>
  <si>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</si>
  <si>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</si>
  <si>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</si>
  <si>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</si>
  <si>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</si>
  <si>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</si>
  <si>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</si>
  <si>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</si>
  <si>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</si>
  <si>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</si>
  <si>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</si>
  <si>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</si>
  <si>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</si>
  <si>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</si>
  <si>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</si>
  <si>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</si>
  <si>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</si>
  <si>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</si>
  <si>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</si>
  <si>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</si>
  <si>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</si>
  <si>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</si>
  <si>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</si>
  <si>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</si>
  <si>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</si>
  <si>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</si>
  <si>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</si>
  <si>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</si>
  <si>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</si>
  <si>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</si>
  <si>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</si>
  <si>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</si>
  <si>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</si>
  <si>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</si>
  <si>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</si>
  <si>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</si>
  <si>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</si>
  <si>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</si>
  <si>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</si>
  <si>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</si>
  <si>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</si>
  <si>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</si>
  <si>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</si>
  <si>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</si>
  <si>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</si>
  <si>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</si>
  <si>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</si>
  <si>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</si>
  <si>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</si>
  <si>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</si>
  <si>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</si>
  <si>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</si>
  <si>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</si>
  <si>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</si>
  <si>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</si>
  <si>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</si>
  <si>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</si>
  <si>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</si>
  <si>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</si>
  <si>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</si>
  <si>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</si>
  <si>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</si>
  <si>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</si>
  <si>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</si>
  <si>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</si>
  <si>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</si>
  <si>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</si>
  <si>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</si>
  <si>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</si>
  <si>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</si>
  <si>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</si>
  <si>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</si>
  <si>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</si>
  <si>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</si>
  <si>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</si>
  <si>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</si>
  <si>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</si>
  <si>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</si>
  <si>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</si>
  <si>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</si>
  <si>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</si>
  <si>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</si>
  <si>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</si>
  <si>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</si>
  <si>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</si>
  <si>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</si>
  <si>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</si>
  <si>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</si>
  <si>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</si>
  <si>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</si>
  <si>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</si>
  <si>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</si>
  <si>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</si>
  <si>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</si>
  <si>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</si>
  <si>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</si>
  <si>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</si>
  <si>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</si>
  <si>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</si>
  <si>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</si>
  <si>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</si>
  <si>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</si>
  <si>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</si>
  <si>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</si>
  <si>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</si>
  <si>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</si>
  <si>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</si>
  <si>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</si>
  <si>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</si>
  <si>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</si>
  <si>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</si>
  <si>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</si>
  <si>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</si>
  <si>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</si>
  <si>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</si>
  <si>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</si>
  <si>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</si>
  <si>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</si>
  <si>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</si>
  <si>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</si>
  <si>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</si>
  <si>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</si>
  <si>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</si>
  <si>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</si>
  <si>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</si>
  <si>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</si>
  <si>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</si>
  <si>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</si>
  <si>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</si>
  <si>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</si>
  <si>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</si>
  <si>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</si>
  <si>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</si>
  <si>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</si>
  <si>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</si>
  <si>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</si>
  <si>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</si>
  <si>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</si>
  <si>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</si>
  <si>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</si>
  <si>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</si>
  <si>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</si>
  <si>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</si>
  <si>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</si>
  <si>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</si>
  <si>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</si>
  <si>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</si>
  <si>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</si>
  <si>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</si>
  <si>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</si>
  <si>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</si>
  <si>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</si>
  <si>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</si>
  <si>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</si>
  <si>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</si>
  <si>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</si>
  <si>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</si>
  <si>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</si>
  <si>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</si>
  <si>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</si>
  <si>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</si>
  <si>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</si>
  <si>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</si>
  <si>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</si>
  <si>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</si>
  <si>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</si>
  <si>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</si>
  <si>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</si>
  <si>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</si>
  <si>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</si>
  <si>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</si>
  <si>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</si>
  <si>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</si>
  <si>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</si>
  <si>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</si>
  <si>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</si>
  <si>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</si>
  <si>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</si>
  <si>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</si>
  <si>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</si>
  <si>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</si>
  <si>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</si>
  <si>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</si>
  <si>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</si>
  <si>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</si>
  <si>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</si>
  <si>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</si>
  <si>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</si>
  <si>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</si>
  <si>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</si>
  <si>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</si>
  <si>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</si>
  <si>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</si>
  <si>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</si>
  <si>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</si>
  <si>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</si>
  <si>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</si>
  <si>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</si>
  <si>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</si>
  <si>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</si>
  <si>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</si>
  <si>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</si>
  <si>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</si>
  <si>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</si>
  <si>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</si>
  <si>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</si>
  <si>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</si>
  <si>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</si>
  <si>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</si>
  <si>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</si>
  <si>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</si>
  <si>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</si>
  <si>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</si>
  <si>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</si>
  <si>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</si>
  <si>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</si>
  <si>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</si>
  <si>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</si>
  <si>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</si>
  <si>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</si>
  <si>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</si>
  <si>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</si>
  <si>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</si>
  <si>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</si>
  <si>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</si>
  <si>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</si>
  <si>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</si>
  <si>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</si>
  <si>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</si>
  <si>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</si>
  <si>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</si>
  <si>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</si>
  <si>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</si>
  <si>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</si>
  <si>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</si>
  <si>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</si>
  <si>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</si>
  <si>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</si>
  <si>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</si>
  <si>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</si>
  <si>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</si>
  <si>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</si>
  <si>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</si>
  <si>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</si>
  <si>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</si>
  <si>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</si>
  <si>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</si>
  <si>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</si>
  <si>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</si>
  <si>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</si>
  <si>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</si>
  <si>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</si>
  <si>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</si>
  <si>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</si>
  <si>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</si>
  <si>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</si>
  <si>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</si>
  <si>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</si>
  <si>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</si>
  <si>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</si>
  <si>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</si>
  <si>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</si>
  <si>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</si>
  <si>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</si>
  <si>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</si>
  <si>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</si>
  <si>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</si>
  <si>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</si>
  <si>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</si>
  <si>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</si>
  <si>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</si>
  <si>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</si>
  <si>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</si>
  <si>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</si>
  <si>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</si>
  <si>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</si>
  <si>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</si>
  <si>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</si>
  <si>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</si>
  <si>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</si>
  <si>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</si>
  <si>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</si>
  <si>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</si>
  <si>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</si>
  <si>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</si>
  <si>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</si>
  <si>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</si>
  <si>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</si>
  <si>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</si>
  <si>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</si>
  <si>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</si>
  <si>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</si>
  <si>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</si>
  <si>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</si>
  <si>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</si>
  <si>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</si>
  <si>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</si>
  <si>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</si>
  <si>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</si>
  <si>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</si>
  <si>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</si>
  <si>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</si>
  <si>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</si>
  <si>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</si>
  <si>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</si>
  <si>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</si>
  <si>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</si>
  <si>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</si>
  <si>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</si>
  <si>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</si>
  <si>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</si>
  <si>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</si>
  <si>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</si>
  <si>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</si>
  <si>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</si>
  <si>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</si>
  <si>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</si>
  <si>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</si>
  <si>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</si>
  <si>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</si>
  <si>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</si>
  <si>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</si>
  <si>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</si>
  <si>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</si>
  <si>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</si>
  <si>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</si>
  <si>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</si>
  <si>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</si>
  <si>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</si>
  <si>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</si>
  <si>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</si>
  <si>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</si>
  <si>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</si>
  <si>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</si>
  <si>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</si>
  <si>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</si>
  <si>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</si>
  <si>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</si>
  <si>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</si>
  <si>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</si>
  <si>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</si>
  <si>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</si>
  <si>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</si>
  <si>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</si>
  <si>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</si>
  <si>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</si>
  <si>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</si>
  <si>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</si>
  <si>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</si>
  <si>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</si>
  <si>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</si>
  <si>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</si>
  <si>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</si>
  <si>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</si>
  <si>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</si>
  <si>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</si>
  <si>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</si>
  <si>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</si>
  <si>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</si>
  <si>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</si>
  <si>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</si>
  <si>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</si>
  <si>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</si>
  <si>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</si>
  <si>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</si>
  <si>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</si>
  <si>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</si>
  <si>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</si>
  <si>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</si>
  <si>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</si>
  <si>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</si>
  <si>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</si>
  <si>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</si>
  <si>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</si>
  <si>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</si>
  <si>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</si>
  <si>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</si>
  <si>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</si>
  <si>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</si>
  <si>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</si>
  <si>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</si>
  <si>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</si>
  <si>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</si>
  <si>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</si>
  <si>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</si>
  <si>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</si>
  <si>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</si>
  <si>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</si>
  <si>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</si>
  <si>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</si>
  <si>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</si>
  <si>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</si>
  <si>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</si>
  <si>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</si>
  <si>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</si>
  <si>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</si>
  <si>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</si>
  <si>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</si>
  <si>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</si>
  <si>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</si>
  <si>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</si>
  <si>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</si>
  <si>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</si>
  <si>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</si>
  <si>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</si>
  <si>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</si>
  <si>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</si>
  <si>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</si>
  <si>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</si>
  <si>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</si>
  <si>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</si>
  <si>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</si>
  <si>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</si>
  <si>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</si>
  <si>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</si>
  <si>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</si>
  <si>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</si>
  <si>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</si>
  <si>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</si>
  <si>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</si>
  <si>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</si>
  <si>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</si>
  <si>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</si>
  <si>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</si>
  <si>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</si>
  <si>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</si>
  <si>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</si>
  <si>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</si>
  <si>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</si>
  <si>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</si>
  <si>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</si>
  <si>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</si>
  <si>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</si>
  <si>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</si>
  <si>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</si>
  <si>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</si>
  <si>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</si>
  <si>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</si>
  <si>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</si>
  <si>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</si>
  <si>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</si>
  <si>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</si>
  <si>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</si>
  <si>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</si>
  <si>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</si>
  <si>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</si>
  <si>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</si>
  <si>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</si>
  <si>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</si>
  <si>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</si>
  <si>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</si>
  <si>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</si>
  <si>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</si>
  <si>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</si>
  <si>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</si>
  <si>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</si>
  <si>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</si>
  <si>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</si>
  <si>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</si>
  <si>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</si>
  <si>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</si>
  <si>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</si>
  <si>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</si>
  <si>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</si>
  <si>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</si>
  <si>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</si>
  <si>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</si>
  <si>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</si>
  <si>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</si>
  <si>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</si>
  <si>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</si>
  <si>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</si>
  <si>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</si>
  <si>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</si>
  <si>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</si>
  <si>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</si>
  <si>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</si>
  <si>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</si>
  <si>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</si>
  <si>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</si>
  <si>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</si>
  <si>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</si>
  <si>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</si>
  <si>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</si>
  <si>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</si>
  <si>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</si>
  <si>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</si>
  <si>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</si>
  <si>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</si>
  <si>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</si>
  <si>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</si>
  <si>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</si>
  <si>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</si>
  <si>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</si>
  <si>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</si>
  <si>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</si>
  <si>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</si>
  <si>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</si>
  <si>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</si>
  <si>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</si>
  <si>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</si>
  <si>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</si>
  <si>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</si>
  <si>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</si>
  <si>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</si>
  <si>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</si>
  <si>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</si>
  <si>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</si>
  <si>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</si>
  <si>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</si>
  <si>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</si>
  <si>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</si>
  <si>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</si>
  <si>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</si>
  <si>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</si>
  <si>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</si>
  <si>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</si>
  <si>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</si>
  <si>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</si>
  <si>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</si>
  <si>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</si>
  <si>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</si>
  <si>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</si>
  <si>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</si>
  <si>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</si>
  <si>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</si>
  <si>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</si>
  <si>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</si>
  <si>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</si>
  <si>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</si>
  <si>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</si>
  <si>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</si>
  <si>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</si>
  <si>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</si>
  <si>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</si>
  <si>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</si>
  <si>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</si>
  <si>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</si>
  <si>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</si>
  <si>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</si>
  <si>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</si>
  <si>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</si>
  <si>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</si>
  <si>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</si>
  <si>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</si>
  <si>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</si>
  <si>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</si>
  <si>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</si>
  <si>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</si>
  <si>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</si>
  <si>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</si>
  <si>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</si>
  <si>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</si>
  <si>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</si>
  <si>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</si>
  <si>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</si>
  <si>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</si>
  <si>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</si>
  <si>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</si>
  <si>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</si>
  <si>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</si>
  <si>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</si>
  <si>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</si>
  <si>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</si>
  <si>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</si>
  <si>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</si>
  <si>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</si>
  <si>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</si>
  <si>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</si>
  <si>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</si>
  <si>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</si>
  <si>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</si>
  <si>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</si>
  <si>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</si>
  <si>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</si>
  <si>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</si>
  <si>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</si>
  <si>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</si>
  <si>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</si>
  <si>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</si>
  <si>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</si>
  <si>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</si>
  <si>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</si>
  <si>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</si>
  <si>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</si>
  <si>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</si>
  <si>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</si>
  <si>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</si>
  <si>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</si>
  <si>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</si>
  <si>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</si>
  <si>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</si>
  <si>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</si>
  <si>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</si>
  <si>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</si>
  <si>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</si>
  <si>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</si>
  <si>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</si>
  <si>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</si>
  <si>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</si>
  <si>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</si>
  <si>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</si>
  <si>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</si>
  <si>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</si>
  <si>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</si>
  <si>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</si>
  <si>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</si>
  <si>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</si>
  <si>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</si>
  <si>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</si>
  <si>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</si>
  <si>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</si>
  <si>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</si>
  <si>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</si>
  <si>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</si>
  <si>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</si>
  <si>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</si>
  <si>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</si>
  <si>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</si>
  <si>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</si>
  <si>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</si>
  <si>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</si>
  <si>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</si>
  <si>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</si>
  <si>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</si>
  <si>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</si>
  <si>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</si>
  <si>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</si>
  <si>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</si>
  <si>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</si>
  <si>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</si>
  <si>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</si>
  <si>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</si>
  <si>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</si>
  <si>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</si>
  <si>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</si>
  <si>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</si>
  <si>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</si>
  <si>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</si>
  <si>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</si>
  <si>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</si>
  <si>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</si>
  <si>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</si>
  <si>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</si>
  <si>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</si>
  <si>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</si>
  <si>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</si>
  <si>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</si>
  <si>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</si>
  <si>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</si>
  <si>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</si>
  <si>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</si>
  <si>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</si>
  <si>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</si>
  <si>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</si>
  <si>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</si>
  <si>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</si>
  <si>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</si>
  <si>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</si>
  <si>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</si>
  <si>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</si>
  <si>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</si>
  <si>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</si>
  <si>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</si>
  <si>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</si>
  <si>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</si>
  <si>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</si>
  <si>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</si>
  <si>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</si>
  <si>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</si>
  <si>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</si>
  <si>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</si>
  <si>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</si>
  <si>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</si>
  <si>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</si>
  <si>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</si>
  <si>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</si>
  <si>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</si>
  <si>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</si>
  <si>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</si>
  <si>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</si>
  <si>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</si>
  <si>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</si>
  <si>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</si>
  <si>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</si>
  <si>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</si>
  <si>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</si>
  <si>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</si>
  <si>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</si>
  <si>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</si>
  <si>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</si>
  <si>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</si>
  <si>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</si>
  <si>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</si>
  <si>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</si>
  <si>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</si>
  <si>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</si>
  <si>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</si>
  <si>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</si>
  <si>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</si>
  <si>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</si>
  <si>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</si>
  <si>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</si>
  <si>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</si>
  <si>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</si>
  <si>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</si>
  <si>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</si>
  <si>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</si>
  <si>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</si>
  <si>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</si>
  <si>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</si>
  <si>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</si>
  <si>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</si>
  <si>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</si>
  <si>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</si>
  <si>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</si>
  <si>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</si>
  <si>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</si>
  <si>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</si>
  <si>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</si>
  <si>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</si>
  <si>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</si>
  <si>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</si>
  <si>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</si>
  <si>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</si>
  <si>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</si>
  <si>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</si>
  <si>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</si>
  <si>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</si>
  <si>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</si>
  <si>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</si>
  <si>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</si>
  <si>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</si>
  <si>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</si>
  <si>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</si>
  <si>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</si>
  <si>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</si>
  <si>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</si>
  <si>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</si>
  <si>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</si>
  <si>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</si>
  <si>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</si>
  <si>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</si>
  <si>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</si>
  <si>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</si>
  <si>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</si>
  <si>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</si>
  <si>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</si>
  <si>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</si>
  <si>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</si>
  <si>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</si>
  <si>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</si>
  <si>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</si>
  <si>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</si>
  <si>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</si>
  <si>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</si>
  <si>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</si>
  <si>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</si>
  <si>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</si>
  <si>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</si>
  <si>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</si>
  <si>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</si>
  <si>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</si>
  <si>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</si>
  <si>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</si>
  <si>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</si>
  <si>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</si>
  <si>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</si>
  <si>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</si>
  <si>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</si>
  <si>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</si>
  <si>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</si>
  <si>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</si>
  <si>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</si>
  <si>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</si>
  <si>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</si>
  <si>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</si>
  <si>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</si>
  <si>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</si>
  <si>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</si>
  <si>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</si>
  <si>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</si>
  <si>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</si>
  <si>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</si>
  <si>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</si>
  <si>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</si>
  <si>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</si>
  <si>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</si>
  <si>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</si>
  <si>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</si>
  <si>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</si>
  <si>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</si>
  <si>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</si>
  <si>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</si>
  <si>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</si>
  <si>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</si>
  <si>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</si>
  <si>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</si>
  <si>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</si>
  <si>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</si>
  <si>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</si>
  <si>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</si>
  <si>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</si>
  <si>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</si>
  <si>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</si>
  <si>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</si>
  <si>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</si>
  <si>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</si>
  <si>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</si>
  <si>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</si>
  <si>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</si>
  <si>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</si>
  <si>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</si>
  <si>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</si>
  <si>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</si>
  <si>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</si>
  <si>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</si>
  <si>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</si>
  <si>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</si>
  <si>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</si>
  <si>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</si>
  <si>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</si>
  <si>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</si>
  <si>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</si>
  <si>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</si>
  <si>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</si>
  <si>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</si>
  <si>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</si>
  <si>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</si>
  <si>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</si>
  <si>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</si>
  <si>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</si>
  <si>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</si>
  <si>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</si>
  <si>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</si>
  <si>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</si>
  <si>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</si>
  <si>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</si>
  <si>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</si>
  <si>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</si>
  <si>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</si>
  <si>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</si>
  <si>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</si>
  <si>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</si>
  <si>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</si>
  <si>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</si>
  <si>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</si>
  <si>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</si>
  <si>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</si>
  <si>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</si>
  <si>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</si>
  <si>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</si>
  <si>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</si>
  <si>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</si>
  <si>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</si>
  <si>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</si>
  <si>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</si>
  <si>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</si>
  <si>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</si>
  <si>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</si>
  <si>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</si>
  <si>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</si>
  <si>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</si>
  <si>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</si>
  <si>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</si>
  <si>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</si>
  <si>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</si>
  <si>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</si>
  <si>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</si>
  <si>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</si>
  <si>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</si>
  <si>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</si>
  <si>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</si>
  <si>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</si>
  <si>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</si>
  <si>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</si>
  <si>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</si>
  <si>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</si>
  <si>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</si>
  <si>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</si>
  <si>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</si>
  <si>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</si>
  <si>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</si>
  <si>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</si>
  <si>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</si>
  <si>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</si>
  <si>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</si>
  <si>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</si>
  <si>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</si>
  <si>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</si>
  <si>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</si>
  <si>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</si>
  <si>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</si>
  <si>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</si>
  <si>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</si>
  <si>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</si>
  <si>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</si>
  <si>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</si>
  <si>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</si>
  <si>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</si>
  <si>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</si>
  <si>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</si>
  <si>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</si>
  <si>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</si>
  <si>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</si>
  <si>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</si>
  <si>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</si>
  <si>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</si>
  <si>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</si>
  <si>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</si>
  <si>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</si>
  <si>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</si>
  <si>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</si>
  <si>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</si>
  <si>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</si>
  <si>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</si>
  <si>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</si>
  <si>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</si>
  <si>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</si>
  <si>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</si>
  <si>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</si>
  <si>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</si>
  <si>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</si>
  <si>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</si>
  <si>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</si>
  <si>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</si>
  <si>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</si>
  <si>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</si>
  <si>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</si>
  <si>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</si>
  <si>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</si>
  <si>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</si>
  <si>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</si>
  <si>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</si>
  <si>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</si>
  <si>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</si>
  <si>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</si>
  <si>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</si>
  <si>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</si>
  <si>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</si>
  <si>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</si>
  <si>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</si>
  <si>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</si>
  <si>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</si>
  <si>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</si>
  <si>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</si>
  <si>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</si>
  <si>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</si>
  <si>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</si>
  <si>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</si>
  <si>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</si>
  <si>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</si>
  <si>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</si>
  <si>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</si>
  <si>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</si>
  <si>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</si>
  <si>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</si>
  <si>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</si>
  <si>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</si>
  <si>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</si>
  <si>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</si>
  <si>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</si>
  <si>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</si>
  <si>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</si>
  <si>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</si>
  <si>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</si>
  <si>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</si>
  <si>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</si>
  <si>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</si>
  <si>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</si>
  <si>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</si>
  <si>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</si>
  <si>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</si>
  <si>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</si>
  <si>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</si>
  <si>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</si>
  <si>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</si>
  <si>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</si>
  <si>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</si>
  <si>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</si>
  <si>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</si>
  <si>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</si>
  <si>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</si>
  <si>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</si>
  <si>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</si>
  <si>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</si>
  <si>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</si>
  <si>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</si>
  <si>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</si>
  <si>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</si>
  <si>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</si>
  <si>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</si>
  <si>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</si>
  <si>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</si>
  <si>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</si>
  <si>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</si>
  <si>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</si>
  <si>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</si>
  <si>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</si>
  <si>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</si>
  <si>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</si>
  <si>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</si>
  <si>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</si>
  <si>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</si>
  <si>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</si>
  <si>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</si>
  <si>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</si>
  <si>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</si>
  <si>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</si>
  <si>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</si>
  <si>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</si>
  <si>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</si>
  <si>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</si>
  <si>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</si>
  <si>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</si>
  <si>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</si>
  <si>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</si>
  <si>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</si>
  <si>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</si>
  <si>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</si>
  <si>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</si>
  <si>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</si>
  <si>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</si>
  <si>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</si>
  <si>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</si>
  <si>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</si>
  <si>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</si>
  <si>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</si>
  <si>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</si>
  <si>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</si>
  <si>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</si>
  <si>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</si>
  <si>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</si>
  <si>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</si>
  <si>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</si>
  <si>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</si>
  <si>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</si>
  <si>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</si>
  <si>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</si>
  <si>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</si>
  <si>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</si>
  <si>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</si>
  <si>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</si>
  <si>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</si>
  <si>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</si>
  <si>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</si>
  <si>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</si>
  <si>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</si>
  <si>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</si>
  <si>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</si>
  <si>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</si>
  <si>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</si>
  <si>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</si>
  <si>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</si>
  <si>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</si>
  <si>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</si>
  <si>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</si>
  <si>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</si>
  <si>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</si>
  <si>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</si>
  <si>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</si>
  <si>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</si>
  <si>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</si>
  <si>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</si>
  <si>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</si>
  <si>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</si>
  <si>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</si>
  <si>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</si>
  <si>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</si>
  <si>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</si>
  <si>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</si>
  <si>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</si>
  <si>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</si>
  <si>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</si>
  <si>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</si>
  <si>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</si>
  <si>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</si>
  <si>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</si>
  <si>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</si>
  <si>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</si>
  <si>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</si>
  <si>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</si>
  <si>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</si>
  <si>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</si>
  <si>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</si>
  <si>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</si>
  <si>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</si>
  <si>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</si>
  <si>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</si>
  <si>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</si>
  <si>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</si>
  <si>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</si>
  <si>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</si>
  <si>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</si>
  <si>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</si>
  <si>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</si>
  <si>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</si>
  <si>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</si>
  <si>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</si>
  <si>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</si>
  <si>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</si>
  <si>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</si>
  <si>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</si>
  <si>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</si>
  <si>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</si>
  <si>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</si>
  <si>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</si>
  <si>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</si>
  <si>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</si>
  <si>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</si>
  <si>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</si>
  <si>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</si>
  <si>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</si>
  <si>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</si>
  <si>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</si>
  <si>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</si>
  <si>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</si>
  <si>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</si>
  <si>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</si>
  <si>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</si>
  <si>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</si>
  <si>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</si>
  <si>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</si>
  <si>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</si>
  <si>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</si>
  <si>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</si>
  <si>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</si>
  <si>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</si>
  <si>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</si>
  <si>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</si>
  <si>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</si>
  <si>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</si>
  <si>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</si>
  <si>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</si>
  <si>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</si>
  <si>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</si>
  <si>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</si>
  <si>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</si>
  <si>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</si>
  <si>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</si>
  <si>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</si>
  <si>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</si>
  <si>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</si>
  <si>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</si>
  <si>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</si>
  <si>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</si>
  <si>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</si>
  <si>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</si>
  <si>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</si>
  <si>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</si>
  <si>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</si>
  <si>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</si>
  <si>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</si>
  <si>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</si>
  <si>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</si>
  <si>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</si>
  <si>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</si>
  <si>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</si>
  <si>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</si>
  <si>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</si>
  <si>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</si>
  <si>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</si>
  <si>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</si>
  <si>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</si>
  <si>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</si>
  <si>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</si>
  <si>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</si>
  <si>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</si>
  <si>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</si>
  <si>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</si>
  <si>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</si>
  <si>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</si>
  <si>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</si>
  <si>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</si>
  <si>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</si>
  <si>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</si>
  <si>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</si>
  <si>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</si>
  <si>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</si>
  <si>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</si>
  <si>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</si>
  <si>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</si>
  <si>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</si>
  <si>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</si>
  <si>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</si>
  <si>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</si>
  <si>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</si>
  <si>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</si>
  <si>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</si>
  <si>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</si>
  <si>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</si>
  <si>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</si>
  <si>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</si>
  <si>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</si>
  <si>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</si>
  <si>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</si>
  <si>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</si>
  <si>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</si>
  <si>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</si>
  <si>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</si>
  <si>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</si>
  <si>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</si>
  <si>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</si>
  <si>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</si>
  <si>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</si>
  <si>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</si>
  <si>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</si>
  <si>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</si>
  <si>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</si>
  <si>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</si>
  <si>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</si>
  <si>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</si>
  <si>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</si>
  <si>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</si>
  <si>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</si>
  <si>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</si>
  <si>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</si>
  <si>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</si>
  <si>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</si>
  <si>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</si>
  <si>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</si>
  <si>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</si>
  <si>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</si>
  <si>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</si>
  <si>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</si>
  <si>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</si>
  <si>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</si>
  <si>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</si>
  <si>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</si>
  <si>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</si>
  <si>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</si>
  <si>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</si>
  <si>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</si>
  <si>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</si>
  <si>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</si>
  <si>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</si>
  <si>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</si>
  <si>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</si>
  <si>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</si>
  <si>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</si>
  <si>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</si>
  <si>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</si>
  <si>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</si>
  <si>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</si>
  <si>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</si>
  <si>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</si>
  <si>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</si>
  <si>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</si>
  <si>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</si>
  <si>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</si>
  <si>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</si>
  <si>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</si>
  <si>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</si>
  <si>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</si>
  <si>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</si>
  <si>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</si>
  <si>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</si>
  <si>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</si>
  <si>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</si>
  <si>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</si>
  <si>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</si>
  <si>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</si>
  <si>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</si>
  <si>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</si>
  <si>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</si>
  <si>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</si>
  <si>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</si>
  <si>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</si>
  <si>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</si>
  <si>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</si>
  <si>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</si>
  <si>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</si>
  <si>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</si>
  <si>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</si>
  <si>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</si>
  <si>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</si>
  <si>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</si>
  <si>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</si>
  <si>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</si>
  <si>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</si>
  <si>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</si>
  <si>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</si>
  <si>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</si>
  <si>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</si>
  <si>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</si>
  <si>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</si>
  <si>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</si>
  <si>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</si>
  <si>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</si>
  <si>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</si>
  <si>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</si>
  <si>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</si>
  <si>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</si>
  <si>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</si>
  <si>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</si>
  <si>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</si>
  <si>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</si>
  <si>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</si>
  <si>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</si>
  <si>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</si>
  <si>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</si>
  <si>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</si>
  <si>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</si>
  <si>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</si>
  <si>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</si>
  <si>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</si>
  <si>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</si>
  <si>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</si>
  <si>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</si>
  <si>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</si>
  <si>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</si>
  <si>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</si>
  <si>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</si>
  <si>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</si>
  <si>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</si>
  <si>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</si>
  <si>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</si>
  <si>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</si>
  <si>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</si>
  <si>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</si>
  <si>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</si>
  <si>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</si>
  <si>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</si>
  <si>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</si>
  <si>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</si>
  <si>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</si>
  <si>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</si>
  <si>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</si>
  <si>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</si>
  <si>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</si>
  <si>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</si>
  <si>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</si>
  <si>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</si>
  <si>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</si>
  <si>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</si>
  <si>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</si>
  <si>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</si>
  <si>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</si>
  <si>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</si>
  <si>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</si>
  <si>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</si>
  <si>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</si>
  <si>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</si>
  <si>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</si>
  <si>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</si>
  <si>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</si>
  <si>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</si>
  <si>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</si>
  <si>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</si>
  <si>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</si>
  <si>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</si>
  <si>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</si>
  <si>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</si>
  <si>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</si>
  <si>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</si>
  <si>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</si>
  <si>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</si>
  <si>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</si>
  <si>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</si>
  <si>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</si>
  <si>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</si>
  <si>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</si>
  <si>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</si>
  <si>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</si>
  <si>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</si>
  <si>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</si>
  <si>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</si>
  <si>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</si>
  <si>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</si>
  <si>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</si>
  <si>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</si>
  <si>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</si>
  <si>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</si>
  <si>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</si>
  <si>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</si>
  <si>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</si>
  <si>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</si>
  <si>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</si>
  <si>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</si>
  <si>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</si>
  <si>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</si>
  <si>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</si>
  <si>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</si>
  <si>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</si>
  <si>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</si>
  <si>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</si>
  <si>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</si>
  <si>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</si>
  <si>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</si>
  <si>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</si>
  <si>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</si>
  <si>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</si>
  <si>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</si>
  <si>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</si>
  <si>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</si>
  <si>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</si>
  <si>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</si>
  <si>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</si>
  <si>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</si>
  <si>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</si>
  <si>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</si>
  <si>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</si>
  <si>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</si>
  <si>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</si>
  <si>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</si>
  <si>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</si>
  <si>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</si>
  <si>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</si>
  <si>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</si>
  <si>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</si>
  <si>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</si>
  <si>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</si>
  <si>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</si>
  <si>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</si>
  <si>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</si>
  <si>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</si>
  <si>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</si>
  <si>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</si>
  <si>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</si>
  <si>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</si>
  <si>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</si>
  <si>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</si>
  <si>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</si>
  <si>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</si>
  <si>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</si>
  <si>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</si>
  <si>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</si>
  <si>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</si>
  <si>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</si>
  <si>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</si>
  <si>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</si>
  <si>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</si>
  <si>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</si>
  <si>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</si>
  <si>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</si>
  <si>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</si>
  <si>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</si>
  <si>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</si>
  <si>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</si>
  <si>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</si>
  <si>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</si>
  <si>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</si>
  <si>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</si>
  <si>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</si>
  <si>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</si>
  <si>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</si>
  <si>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</si>
  <si>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</si>
  <si>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</si>
  <si>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</si>
  <si>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</si>
  <si>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</si>
  <si>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</si>
  <si>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</si>
  <si>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</si>
  <si>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</si>
  <si>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</si>
  <si>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</si>
  <si>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</si>
  <si>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</si>
  <si>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</si>
  <si>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</si>
  <si>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</si>
  <si>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</si>
  <si>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</si>
  <si>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</si>
  <si>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</si>
  <si>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</si>
  <si>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</si>
  <si>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</si>
  <si>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</si>
  <si>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</si>
  <si>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</si>
  <si>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</si>
  <si>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</si>
  <si>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</si>
  <si>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</si>
  <si>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</si>
  <si>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</si>
  <si>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</si>
  <si>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</si>
  <si>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</si>
  <si>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</si>
  <si>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</si>
  <si>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</si>
  <si>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</si>
  <si>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</si>
  <si>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</si>
  <si>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</si>
  <si>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</si>
  <si>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</si>
  <si>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</si>
  <si>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</si>
  <si>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</si>
  <si>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</si>
  <si>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</si>
  <si>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</si>
  <si>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</si>
  <si>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</si>
  <si>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</si>
  <si>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</si>
  <si>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</si>
  <si>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</si>
  <si>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</si>
  <si>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</si>
  <si>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</si>
  <si>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</si>
  <si>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</si>
  <si>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</si>
  <si>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</si>
  <si>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</si>
  <si>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</si>
  <si>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</si>
  <si>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</si>
  <si>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</si>
  <si>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</si>
  <si>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</si>
  <si>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</si>
  <si>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</si>
  <si>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</si>
  <si>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</si>
  <si>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</si>
  <si>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</si>
  <si>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</si>
  <si>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</si>
  <si>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</si>
  <si>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</si>
  <si>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</si>
  <si>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</si>
  <si>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</si>
  <si>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</si>
  <si>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</si>
  <si>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</si>
  <si>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</si>
  <si>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</si>
  <si>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</si>
  <si>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</si>
  <si>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</si>
  <si>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</si>
  <si>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</si>
  <si>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</si>
  <si>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</si>
  <si>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</si>
  <si>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</si>
  <si>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</si>
  <si>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</si>
  <si>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</si>
  <si>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</si>
  <si>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</si>
  <si>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</si>
  <si>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</si>
  <si>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</si>
  <si>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</si>
  <si>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</si>
  <si>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</si>
  <si>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</si>
  <si>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</si>
  <si>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</si>
  <si>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</si>
  <si>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</si>
  <si>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</si>
  <si>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</si>
  <si>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</si>
  <si>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</si>
  <si>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</si>
  <si>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</si>
  <si>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</si>
  <si>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</si>
  <si>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</si>
  <si>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</si>
  <si>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</si>
  <si>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</si>
  <si>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</si>
  <si>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</si>
  <si>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</si>
  <si>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</si>
  <si>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</si>
  <si>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</si>
  <si>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</si>
  <si>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</si>
  <si>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</si>
  <si>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</si>
  <si>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</si>
  <si>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</si>
  <si>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</si>
  <si>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</si>
  <si>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</si>
  <si>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</si>
  <si>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</si>
  <si>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</si>
  <si>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</si>
  <si>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</si>
  <si>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</si>
  <si>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</si>
  <si>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</si>
  <si>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</si>
  <si>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</si>
  <si>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</si>
  <si>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</si>
  <si>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</si>
  <si>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</si>
  <si>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</si>
  <si>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</si>
  <si>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</si>
  <si>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</si>
  <si>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</si>
  <si>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</si>
  <si>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</si>
  <si>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</si>
  <si>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</si>
  <si>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</si>
  <si>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</si>
  <si>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</si>
  <si>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</si>
  <si>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</si>
  <si>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</si>
  <si>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</si>
  <si>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</si>
  <si>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</si>
  <si>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</si>
  <si>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</si>
  <si>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</si>
  <si>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</si>
  <si>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</si>
  <si>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</si>
  <si>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</si>
  <si>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</si>
  <si>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</si>
  <si>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</si>
  <si>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</si>
  <si>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</si>
  <si>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</si>
  <si>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</si>
  <si>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</si>
  <si>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</si>
  <si>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</si>
  <si>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</si>
  <si>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</si>
  <si>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</si>
  <si>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</si>
  <si>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</si>
  <si>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</si>
  <si>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</si>
  <si>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</si>
  <si>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</si>
  <si>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</si>
  <si>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</si>
  <si>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</si>
  <si>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</si>
  <si>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</si>
  <si>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</si>
  <si>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</si>
  <si>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</si>
  <si>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</si>
  <si>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</si>
  <si>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</si>
  <si>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</si>
  <si>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</si>
  <si>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</si>
  <si>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</si>
  <si>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</si>
  <si>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</si>
  <si>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</si>
  <si>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</si>
  <si>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</si>
  <si>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</si>
  <si>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</si>
  <si>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</si>
  <si>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</si>
  <si>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</si>
  <si>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</si>
  <si>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</si>
  <si>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</si>
  <si>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</si>
  <si>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</si>
  <si>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</si>
  <si>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</si>
  <si>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</si>
  <si>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</si>
  <si>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TARTAGINE</t>
  </si>
  <si>
    <t xml:space="preserve">Castifao</t>
  </si>
  <si>
    <t xml:space="preserve">06213200</t>
  </si>
  <si>
    <t xml:space="preserve">7178d - RCS Corse 2015</t>
  </si>
  <si>
    <t xml:space="preserve">radier</t>
  </si>
  <si>
    <t xml:space="preserve">pl. lent</t>
  </si>
  <si>
    <t xml:space="preserve">faible</t>
  </si>
  <si>
    <t xml:space="preserve">peu abondant</t>
  </si>
  <si>
    <t xml:space="preserve">Cf.</t>
  </si>
  <si>
    <t xml:space="preserve">NEWCOD</t>
  </si>
  <si>
    <t xml:space="preserve">Coleochaete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</si>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</sst>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O43" activeCellId="0" sqref="O4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42179</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12.6538461538462</v>
      </c>
      <c r="N5" s="352"/>
      <c r="O5" s="353" t="s">
        <v>193</v>
      </c>
      <c r="P5" s="354" t="n">
        <v>12.2272727272727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60</v>
      </c>
      <c r="C7" s="370" t="n">
        <v>40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11.75</v>
      </c>
      <c r="P8" s="384" t="n">
        <f aca="false">IF(ISERROR(AVERAGE(K23:K82)),"  ",AVERAGE(K23:K82))</f>
        <v>1.75</v>
      </c>
      <c r="Q8" s="385"/>
      <c r="R8" s="309"/>
      <c r="S8" s="309"/>
      <c r="T8" s="309"/>
      <c r="U8" s="309"/>
      <c r="V8" s="309"/>
      <c r="W8" s="323"/>
    </row>
    <row r="9" customFormat="false" ht="12.75" hidden="false" customHeight="false" outlineLevel="0" collapsed="false">
      <c r="A9" s="342" t="s">
        <v>3394</v>
      </c>
      <c r="B9" s="386" t="n">
        <v>1</v>
      </c>
      <c r="C9" s="387" t="n">
        <v>1</v>
      </c>
      <c r="D9" s="388"/>
      <c r="E9" s="388"/>
      <c r="F9" s="389" t="n">
        <f aca="false">($B9*$B$7+$C9*$C$7)/100</f>
        <v>1</v>
      </c>
      <c r="G9" s="390"/>
      <c r="H9" s="345"/>
      <c r="I9" s="309"/>
      <c r="J9" s="391"/>
      <c r="K9" s="392"/>
      <c r="L9" s="375"/>
      <c r="M9" s="393"/>
      <c r="N9" s="383" t="s">
        <v>3395</v>
      </c>
      <c r="O9" s="384" t="n">
        <f aca="false">IF(ISERROR(STDEVP(J23:J82))," ",STDEVP(J23:J82))</f>
        <v>3.24358340933809</v>
      </c>
      <c r="P9" s="384" t="n">
        <f aca="false">IF(ISERROR(STDEVP(K23:K82)),"  ",STDEVP(K23:K82))</f>
        <v>0.595119035711904</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18</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3</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7</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0.722222222222222</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0.69</v>
      </c>
      <c r="C20" s="461" t="n">
        <f aca="false">SUM(C23:C62)</f>
        <v>1.375</v>
      </c>
      <c r="D20" s="462"/>
      <c r="E20" s="463" t="s">
        <v>3419</v>
      </c>
      <c r="F20" s="464" t="n">
        <f aca="false">($B20*$B$7+$C20*$C$7)/100</f>
        <v>0.964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0.414</v>
      </c>
      <c r="C21" s="472" t="n">
        <f aca="false">C20*C7/100</f>
        <v>0.55</v>
      </c>
      <c r="D21" s="473" t="s">
        <v>3422</v>
      </c>
      <c r="E21" s="474"/>
      <c r="F21" s="475" t="n">
        <f aca="false">B21+C21</f>
        <v>0.964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0.003</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0.003</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132</v>
      </c>
      <c r="B24" s="519" t="n">
        <v>0.05</v>
      </c>
      <c r="C24" s="520" t="n">
        <v>0.01</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0.034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0.034</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193</v>
      </c>
      <c r="B25" s="519" t="n">
        <v>0.1</v>
      </c>
      <c r="C25" s="520" t="n">
        <v>0.2</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0.14</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0.14</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0.35</v>
      </c>
      <c r="C26" s="520" t="n">
        <v>0.01</v>
      </c>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0.214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0.214</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232</v>
      </c>
      <c r="B27" s="519" t="n">
        <v>0.005</v>
      </c>
      <c r="C27" s="520"/>
      <c r="D27" s="521" t="str">
        <f aca="false">IF(ISERROR(VLOOKUP($A27,'liste reference'!$A$6:$B$1174,2,0)),IF(ISERROR(VLOOKUP($A27,'liste reference'!$B$6:$B$1174,1,0)),"",VLOOKUP($A27,'liste reference'!$B$6:$B$1174,1,0)),VLOOKUP($A27,'liste reference'!$A$6:$B$1174,2,0))</f>
        <v>Microcoleus sp.</v>
      </c>
      <c r="E27" s="522" t="e">
        <f aca="false">IF(D27="",0,VLOOKUP(D27,D$22:D26,1,0))</f>
        <v>#N/A</v>
      </c>
      <c r="F27" s="523" t="n">
        <f aca="false">IF(AND(OR(A27="",A27="!!!!!!"),B27="",C27=""),"",IF(OR(AND(B27="",C27=""),ISERROR(C27+B27)),"!!!",($B27*$B$7+$C27*$C$7)/100))</f>
        <v>0.003</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Microcoleus sp.</v>
      </c>
      <c r="M27" s="527"/>
      <c r="N27" s="527"/>
      <c r="O27" s="527"/>
      <c r="P27" s="528" t="s">
        <v>3462</v>
      </c>
      <c r="Q27" s="529" t="n">
        <f aca="false">IF(OR($A27="NEWCOD",$A27="!!!!!!"),IF(X27="","NoCod",X27),IF($A27="","",IF(ISERROR(VLOOKUP($A27,'liste reference'!$A$6:$H$1174,8,FALSE())),IF(ISERROR(VLOOKUP($A27,'liste reference'!$B$6:$H$1174,7,FALSE())),"",VLOOKUP($A27,'liste reference'!$B$6:$H$1174,7,FALSE())),VLOOKUP($A27,'liste reference'!$A$6:$H$1174,8,FALSE()))))</f>
        <v>6405</v>
      </c>
      <c r="R27" s="513" t="n">
        <f aca="false">IF(ISTEXT(H27),"",(B27*$B$7/100)+(C27*$C$7/100))</f>
        <v>0.003</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MIRSPX</v>
      </c>
      <c r="Z27" s="499" t="n">
        <f aca="false">IF(ISERROR(MATCH(A27,'liste reference'!$A$6:$A$1174,0)),IF(ISERROR(MATCH(A27,'liste reference'!$B$6:$B$1174,0)),"",(MATCH(A27,'liste reference'!$B$6:$B$1174,0))),(MATCH(A27,'liste reference'!$A$6:$A$1174,0)))</f>
        <v>64</v>
      </c>
    </row>
    <row r="28" customFormat="false" ht="12.75" hidden="false" customHeight="false" outlineLevel="0" collapsed="false">
      <c r="A28" s="518" t="s">
        <v>289</v>
      </c>
      <c r="B28" s="519" t="n">
        <v>0.005</v>
      </c>
      <c r="C28" s="520"/>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0.003</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0.003</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307</v>
      </c>
      <c r="B29" s="519" t="n">
        <v>0.005</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0.003</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3462</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0.003</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446</v>
      </c>
      <c r="B30" s="519" t="n">
        <v>0.01</v>
      </c>
      <c r="C30" s="520" t="n">
        <v>0.02</v>
      </c>
      <c r="D30" s="521" t="str">
        <f aca="false">IF(ISERROR(VLOOKUP($A30,'liste reference'!$A$6:$B$1174,2,0)),IF(ISERROR(VLOOKUP($A30,'liste reference'!$B$6:$B$1174,1,0)),"",VLOOKUP($A30,'liste reference'!$B$6:$B$1174,1,0)),VLOOKUP($A30,'liste reference'!$A$6:$B$1174,2,0))</f>
        <v>Chiloscyphus polyanthos</v>
      </c>
      <c r="E30" s="522" t="e">
        <f aca="false">IF(D30="",0,VLOOKUP(D30,D$22:D29,1,0))</f>
        <v>#N/A</v>
      </c>
      <c r="F30" s="523" t="n">
        <f aca="false">IF(AND(OR(A30="",A30="!!!!!!"),B30="",C30=""),"",IF(OR(AND(B30="",C30=""),ISERROR(C30+B30)),"!!!",($B30*$B$7+$C30*$C$7)/100))</f>
        <v>0.014</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n">
        <f aca="false">IF(ISNUMBER($H30),IF(ISERROR(VLOOKUP($A30,'liste reference'!$A$6:$Q$1174,6,0)),IF(ISERROR(VLOOKUP($A30,'liste reference'!$B$6:$Q$1174,5,0)),"nu",VLOOKUP($A30,'liste reference'!$B$6:$Q$1174,5,0)),VLOOKUP($A30,'liste reference'!$A$6:$Q$1174,6,0)),"nu")</f>
        <v>15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Chiloscyphus polyanthos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1186</v>
      </c>
      <c r="R30" s="513" t="n">
        <f aca="false">IF(ISTEXT(H30),"",(B30*$B$7/100)+(C30*$C$7/100))</f>
        <v>0.014</v>
      </c>
      <c r="S30" s="514" t="n">
        <f aca="false">IF(OR(ISTEXT(H30),R30=0),"",IF(R30&lt;0.1,1,IF(R30&lt;1,2,IF(R30&lt;10,3,IF(R30&lt;50,4,IF(R30&gt;=50,5,""))))))</f>
        <v>1</v>
      </c>
      <c r="T30" s="514" t="n">
        <f aca="false">IF(ISERROR(S30*J30),0,S30*J30)</f>
        <v>15</v>
      </c>
      <c r="U30" s="514" t="n">
        <f aca="false">IF(ISERROR(S30*J30*K30),0,S30*J30*K30)</f>
        <v>30</v>
      </c>
      <c r="V30" s="530" t="n">
        <f aca="false">IF(ISERROR(S30*K30),0,S30*K30)</f>
        <v>2</v>
      </c>
      <c r="W30" s="531"/>
      <c r="X30" s="532"/>
      <c r="Y30" s="517" t="str">
        <f aca="false">IF(AND(ISNUMBER(F30),OR(A30="",A30="!!!!!!")),"!!!!!!",IF(A30="new.cod","NEWCOD",IF(AND((Z30=""),ISTEXT(A30),A30&lt;&gt;"!!!!!!"),A30,IF(Z30="","",INDEX('liste reference'!$A$6:$A$1174,Z30)))))</f>
        <v>CHIPOL</v>
      </c>
      <c r="Z30" s="499" t="n">
        <f aca="false">IF(ISERROR(MATCH(A30,'liste reference'!$A$6:$A$1174,0)),IF(ISERROR(MATCH(A30,'liste reference'!$B$6:$B$1174,0)),"",(MATCH(A30,'liste reference'!$B$6:$B$1174,0))),(MATCH(A30,'liste reference'!$A$6:$A$1174,0)))</f>
        <v>137</v>
      </c>
    </row>
    <row r="31" customFormat="false" ht="12.75" hidden="false" customHeight="false" outlineLevel="0" collapsed="false">
      <c r="A31" s="518" t="s">
        <v>666</v>
      </c>
      <c r="B31" s="519" t="n">
        <v>0.005</v>
      </c>
      <c r="C31" s="520"/>
      <c r="D31" s="521" t="str">
        <f aca="false">IF(ISERROR(VLOOKUP($A31,'liste reference'!$A$6:$B$1174,2,0)),IF(ISERROR(VLOOKUP($A31,'liste reference'!$B$6:$B$1174,1,0)),"",VLOOKUP($A31,'liste reference'!$B$6:$B$1174,1,0)),VLOOKUP($A31,'liste reference'!$A$6:$B$1174,2,0))</f>
        <v>Bryum pseudotriquetrum</v>
      </c>
      <c r="E31" s="522" t="e">
        <f aca="false">IF(D31="",0,VLOOKUP(D31,D$22:D30,1,0))</f>
        <v>#N/A</v>
      </c>
      <c r="F31" s="523" t="n">
        <f aca="false">IF(AND(OR(A31="",A31="!!!!!!"),B31="",C31=""),"",IF(OR(AND(B31="",C31=""),ISERROR(C31+B31)),"!!!",($B31*$B$7+$C31*$C$7)/100))</f>
        <v>0.003</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Bryum pseudotriquetrum</v>
      </c>
      <c r="M31" s="527"/>
      <c r="N31" s="527"/>
      <c r="O31" s="527"/>
      <c r="P31" s="528" t="s">
        <v>3462</v>
      </c>
      <c r="Q31" s="529" t="n">
        <f aca="false">IF(OR($A31="NEWCOD",$A31="!!!!!!"),IF(X31="","NoCod",X31),IF($A31="","",IF(ISERROR(VLOOKUP($A31,'liste reference'!$A$6:$H$1174,8,FALSE())),IF(ISERROR(VLOOKUP($A31,'liste reference'!$B$6:$H$1174,7,FALSE())),"",VLOOKUP($A31,'liste reference'!$B$6:$H$1174,7,FALSE())),VLOOKUP($A31,'liste reference'!$A$6:$H$1174,8,FALSE()))))</f>
        <v>1274</v>
      </c>
      <c r="R31" s="513" t="n">
        <f aca="false">IF(ISTEXT(H31),"",(B31*$B$7/100)+(C31*$C$7/100))</f>
        <v>0.003</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BRYPSE</v>
      </c>
      <c r="Z31" s="499" t="n">
        <f aca="false">IF(ISERROR(MATCH(A31,'liste reference'!$A$6:$A$1174,0)),IF(ISERROR(MATCH(A31,'liste reference'!$B$6:$B$1174,0)),"",(MATCH(A31,'liste reference'!$B$6:$B$1174,0))),(MATCH(A31,'liste reference'!$A$6:$A$1174,0)))</f>
        <v>211</v>
      </c>
    </row>
    <row r="32" customFormat="false" ht="12.75" hidden="false" customHeight="false" outlineLevel="0" collapsed="false">
      <c r="A32" s="518" t="s">
        <v>892</v>
      </c>
      <c r="B32" s="519" t="n">
        <v>0.02</v>
      </c>
      <c r="C32" s="520" t="n">
        <v>0.07</v>
      </c>
      <c r="D32" s="521" t="str">
        <f aca="false">IF(ISERROR(VLOOKUP($A32,'liste reference'!$A$6:$B$1174,2,0)),IF(ISERROR(VLOOKUP($A32,'liste reference'!$B$6:$B$1174,1,0)),"",VLOOKUP($A32,'liste reference'!$B$6:$B$1174,1,0)),VLOOKUP($A32,'liste reference'!$A$6:$B$1174,2,0))</f>
        <v>Fontinalis hypnoides var. duriaei</v>
      </c>
      <c r="E32" s="522" t="e">
        <f aca="false">IF(D32="",0,VLOOKUP(D32,D$22:D31,1,0))</f>
        <v>#N/A</v>
      </c>
      <c r="F32" s="523" t="n">
        <f aca="false">IF(AND(OR(A32="",A32="!!!!!!"),B32="",C32=""),"",IF(OR(AND(B32="",C32=""),ISERROR(C32+B32)),"!!!",($B32*$B$7+$C32*$C$7)/100))</f>
        <v>0.04</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14</v>
      </c>
      <c r="K32" s="526" t="n">
        <f aca="false">IF(ISNUMBER($H32),IF(ISERROR(VLOOKUP($A32,'liste reference'!$A$6:$Q$1174,7,0)),IF(ISERROR(VLOOKUP($A32,'liste reference'!$B$6:$Q$1174,6,0)),"nu",VLOOKUP($A32,'liste reference'!$B$6:$Q$1174,6,0)),VLOOKUP($A32,'liste reference'!$A$6:$Q$1174,7,0)),"nu")</f>
        <v>3</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Fontinalis hypnoides var. duriaei</v>
      </c>
      <c r="M32" s="533"/>
      <c r="N32" s="533"/>
      <c r="O32" s="533"/>
      <c r="P32" s="528" t="s">
        <v>3442</v>
      </c>
      <c r="Q32" s="529" t="n">
        <f aca="false">IF(OR($A32="NEWCOD",$A32="!!!!!!"),IF(X32="","NoCod",X32),IF($A32="","",IF(ISERROR(VLOOKUP($A32,'liste reference'!$A$6:$H$1174,8,FALSE())),IF(ISERROR(VLOOKUP($A32,'liste reference'!$B$6:$H$1174,7,FALSE())),"",VLOOKUP($A32,'liste reference'!$B$6:$H$1174,7,FALSE())),VLOOKUP($A32,'liste reference'!$A$6:$H$1174,8,FALSE()))))</f>
        <v>10215</v>
      </c>
      <c r="R32" s="513" t="n">
        <f aca="false">IF(ISTEXT(H32),"",(B32*$B$7/100)+(C32*$C$7/100))</f>
        <v>0.04</v>
      </c>
      <c r="S32" s="514" t="n">
        <f aca="false">IF(OR(ISTEXT(H32),R32=0),"",IF(R32&lt;0.1,1,IF(R32&lt;1,2,IF(R32&lt;10,3,IF(R32&lt;50,4,IF(R32&gt;=50,5,""))))))</f>
        <v>1</v>
      </c>
      <c r="T32" s="514" t="n">
        <f aca="false">IF(ISERROR(S32*J32),0,S32*J32)</f>
        <v>14</v>
      </c>
      <c r="U32" s="514" t="n">
        <f aca="false">IF(ISERROR(S32*J32*K32),0,S32*J32*K32)</f>
        <v>42</v>
      </c>
      <c r="V32" s="530" t="n">
        <f aca="false">IF(ISERROR(S32*K32),0,S32*K32)</f>
        <v>3</v>
      </c>
      <c r="W32" s="531"/>
      <c r="X32" s="532"/>
      <c r="Y32" s="517" t="str">
        <f aca="false">IF(AND(ISNUMBER(F32),OR(A32="",A32="!!!!!!")),"!!!!!!",IF(A32="new.cod","NEWCOD",IF(AND((Z32=""),ISTEXT(A32),A32&lt;&gt;"!!!!!!"),A32,IF(Z32="","",INDEX('liste reference'!$A$6:$A$1174,Z32)))))</f>
        <v>FONHYD</v>
      </c>
      <c r="Z32" s="499" t="n">
        <f aca="false">IF(ISERROR(MATCH(A32,'liste reference'!$A$6:$A$1174,0)),IF(ISERROR(MATCH(A32,'liste reference'!$B$6:$B$1174,0)),"",(MATCH(A32,'liste reference'!$B$6:$B$1174,0))),(MATCH(A32,'liste reference'!$A$6:$A$1174,0)))</f>
        <v>275</v>
      </c>
    </row>
    <row r="33" customFormat="false" ht="12.75" hidden="false" customHeight="false" outlineLevel="0" collapsed="false">
      <c r="A33" s="518" t="s">
        <v>972</v>
      </c>
      <c r="B33" s="519" t="n">
        <v>0.01</v>
      </c>
      <c r="C33" s="520" t="n">
        <v>0.03</v>
      </c>
      <c r="D33" s="521" t="str">
        <f aca="false">IF(ISERROR(VLOOKUP($A33,'liste reference'!$A$6:$B$1174,2,0)),IF(ISERROR(VLOOKUP($A33,'liste reference'!$B$6:$B$1174,1,0)),"",VLOOKUP($A33,'liste reference'!$B$6:$B$1174,1,0)),VLOOKUP($A33,'liste reference'!$A$6:$B$1174,2,0))</f>
        <v>Leptodictyum riparium </v>
      </c>
      <c r="E33" s="522" t="e">
        <f aca="false">IF(D33="",0,VLOOKUP(D33,D$22:D32,1,0))</f>
        <v>#N/A</v>
      </c>
      <c r="F33" s="523" t="n">
        <f aca="false">IF(AND(OR(A33="",A33="!!!!!!"),B33="",C33=""),"",IF(OR(AND(B33="",C33=""),ISERROR(C33+B33)),"!!!",($B33*$B$7+$C33*$C$7)/100))</f>
        <v>0.018</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5</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Leptodictyum riparium </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1244</v>
      </c>
      <c r="R33" s="513" t="n">
        <f aca="false">IF(ISTEXT(H33),"",(B33*$B$7/100)+(C33*$C$7/100))</f>
        <v>0.018</v>
      </c>
      <c r="S33" s="514" t="n">
        <f aca="false">IF(OR(ISTEXT(H33),R33=0),"",IF(R33&lt;0.1,1,IF(R33&lt;1,2,IF(R33&lt;10,3,IF(R33&lt;50,4,IF(R33&gt;=50,5,""))))))</f>
        <v>1</v>
      </c>
      <c r="T33" s="514" t="n">
        <f aca="false">IF(ISERROR(S33*J33),0,S33*J33)</f>
        <v>5</v>
      </c>
      <c r="U33" s="514" t="n">
        <f aca="false">IF(ISERROR(S33*J33*K33),0,S33*J33*K33)</f>
        <v>10</v>
      </c>
      <c r="V33" s="530" t="n">
        <f aca="false">IF(ISERROR(S33*K33),0,S33*K33)</f>
        <v>2</v>
      </c>
      <c r="W33" s="531"/>
      <c r="X33" s="532"/>
      <c r="Y33" s="517" t="str">
        <f aca="false">IF(AND(ISNUMBER(F33),OR(A33="",A33="!!!!!!")),"!!!!!!",IF(A33="new.cod","NEWCOD",IF(AND((Z33=""),ISTEXT(A33),A33&lt;&gt;"!!!!!!"),A33,IF(Z33="","",INDEX('liste reference'!$A$6:$A$1174,Z33)))))</f>
        <v>LEORIP</v>
      </c>
      <c r="Z33" s="499" t="n">
        <f aca="false">IF(ISERROR(MATCH(A33,'liste reference'!$A$6:$A$1174,0)),IF(ISERROR(MATCH(A33,'liste reference'!$B$6:$B$1174,0)),"",(MATCH(A33,'liste reference'!$B$6:$B$1174,0))),(MATCH(A33,'liste reference'!$A$6:$A$1174,0)))</f>
        <v>298</v>
      </c>
    </row>
    <row r="34" customFormat="false" ht="12.75" hidden="false" customHeight="false" outlineLevel="0" collapsed="false">
      <c r="A34" s="518" t="s">
        <v>1120</v>
      </c>
      <c r="B34" s="519" t="n">
        <v>0.01</v>
      </c>
      <c r="C34" s="520" t="n">
        <v>0.02</v>
      </c>
      <c r="D34" s="521" t="str">
        <f aca="false">IF(ISERROR(VLOOKUP($A34,'liste reference'!$A$6:$B$1174,2,0)),IF(ISERROR(VLOOKUP($A34,'liste reference'!$B$6:$B$1174,1,0)),"",VLOOKUP($A34,'liste reference'!$B$6:$B$1174,1,0)),VLOOKUP($A34,'liste reference'!$A$6:$B$1174,2,0))</f>
        <v>Rhynchostegium riparioides</v>
      </c>
      <c r="E34" s="522" t="e">
        <f aca="false">IF(D34="",0,VLOOKUP(D34,D$22:D33,1,0))</f>
        <v>#N/A</v>
      </c>
      <c r="F34" s="523" t="n">
        <f aca="false">IF(AND(OR(A34="",A34="!!!!!!"),B34="",C34=""),"",IF(OR(AND(B34="",C34=""),ISERROR(C34+B34)),"!!!",($B34*$B$7+$C34*$C$7)/100))</f>
        <v>0.014</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Rhynchostegium riparioides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31691</v>
      </c>
      <c r="R34" s="513" t="n">
        <f aca="false">IF(ISTEXT(H34),"",(B34*$B$7/100)+(C34*$C$7/100))</f>
        <v>0.014</v>
      </c>
      <c r="S34" s="514" t="n">
        <f aca="false">IF(OR(ISTEXT(H34),R34=0),"",IF(R34&lt;0.1,1,IF(R34&lt;1,2,IF(R34&lt;10,3,IF(R34&lt;50,4,IF(R34&gt;=50,5,""))))))</f>
        <v>1</v>
      </c>
      <c r="T34" s="514" t="n">
        <f aca="false">IF(ISERROR(S34*J34),0,S34*J34)</f>
        <v>12</v>
      </c>
      <c r="U34" s="514" t="n">
        <f aca="false">IF(ISERROR(S34*J34*K34),0,S34*J34*K34)</f>
        <v>12</v>
      </c>
      <c r="V34" s="530" t="n">
        <f aca="false">IF(ISERROR(S34*K34),0,S34*K34)</f>
        <v>1</v>
      </c>
      <c r="W34" s="531"/>
      <c r="X34" s="532"/>
      <c r="Y34" s="517" t="str">
        <f aca="false">IF(AND(ISNUMBER(F34),OR(A34="",A34="!!!!!!")),"!!!!!!",IF(A34="new.cod","NEWCOD",IF(AND((Z34=""),ISTEXT(A34),A34&lt;&gt;"!!!!!!"),A34,IF(Z34="","",INDEX('liste reference'!$A$6:$A$1174,Z34)))))</f>
        <v>RHYRIP</v>
      </c>
      <c r="Z34" s="499" t="n">
        <f aca="false">IF(ISERROR(MATCH(A34,'liste reference'!$A$6:$A$1174,0)),IF(ISERROR(MATCH(A34,'liste reference'!$B$6:$B$1174,0)),"",(MATCH(A34,'liste reference'!$B$6:$B$1174,0))),(MATCH(A34,'liste reference'!$A$6:$A$1174,0)))</f>
        <v>345</v>
      </c>
    </row>
    <row r="35" customFormat="false" ht="12.75" hidden="false" customHeight="false" outlineLevel="0" collapsed="false">
      <c r="A35" s="518" t="s">
        <v>1253</v>
      </c>
      <c r="B35" s="519"/>
      <c r="C35" s="520" t="n">
        <v>0.005</v>
      </c>
      <c r="D35" s="521" t="str">
        <f aca="false">IF(ISERROR(VLOOKUP($A35,'liste reference'!$A$6:$B$1174,2,0)),IF(ISERROR(VLOOKUP($A35,'liste reference'!$B$6:$B$1174,1,0)),"",VLOOKUP($A35,'liste reference'!$B$6:$B$1174,1,0)),VLOOKUP($A35,'liste reference'!$A$6:$B$1174,2,0))</f>
        <v>Equisetum arvense</v>
      </c>
      <c r="E35" s="522" t="e">
        <f aca="false">IF(D35="",0,VLOOKUP(D35,D$22:D34,1,0))</f>
        <v>#N/A</v>
      </c>
      <c r="F35" s="523" t="n">
        <f aca="false">IF(AND(OR(A35="",A35="!!!!!!"),B35="",C35=""),"",IF(OR(AND(B35="",C35=""),ISERROR(C35+B35)),"!!!",($B35*$B$7+$C35*$C$7)/100))</f>
        <v>0.002</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Equisetum arvense</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1384</v>
      </c>
      <c r="R35" s="513" t="n">
        <f aca="false">IF(ISTEXT(H35),"",(B35*$B$7/100)+(C35*$C$7/100))</f>
        <v>0.002</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EQUARV</v>
      </c>
      <c r="Z35" s="499" t="n">
        <f aca="false">IF(ISERROR(MATCH(A35,'liste reference'!$A$6:$A$1174,0)),IF(ISERROR(MATCH(A35,'liste reference'!$B$6:$B$1174,0)),"",(MATCH(A35,'liste reference'!$B$6:$B$1174,0))),(MATCH(A35,'liste reference'!$A$6:$A$1174,0)))</f>
        <v>385</v>
      </c>
    </row>
    <row r="36" customFormat="false" ht="12.75" hidden="false" customHeight="false" outlineLevel="0" collapsed="false">
      <c r="A36" s="518" t="s">
        <v>1311</v>
      </c>
      <c r="B36" s="519"/>
      <c r="C36" s="520" t="n">
        <v>0.005</v>
      </c>
      <c r="D36" s="521" t="str">
        <f aca="false">IF(ISERROR(VLOOKUP($A36,'liste reference'!$A$6:$B$1174,2,0)),IF(ISERROR(VLOOKUP($A36,'liste reference'!$B$6:$B$1174,1,0)),"",VLOOKUP($A36,'liste reference'!$B$6:$B$1174,1,0)),VLOOKUP($A36,'liste reference'!$A$6:$B$1174,2,0))</f>
        <v>Osmunda regalis</v>
      </c>
      <c r="E36" s="522" t="e">
        <f aca="false">IF(D36="",0,VLOOKUP(D36,D$22:D35,1,0))</f>
        <v>#N/A</v>
      </c>
      <c r="F36" s="523" t="n">
        <f aca="false">IF(AND(OR(A36="",A36="!!!!!!"),B36="",C36=""),"",IF(OR(AND(B36="",C36=""),ISERROR(C36+B36)),"!!!",($B36*$B$7+$C36*$C$7)/100))</f>
        <v>0.002</v>
      </c>
      <c r="G36" s="524" t="str">
        <f aca="false">IF(A36="","",IF(ISERROR(VLOOKUP($A36,'liste reference'!$A$6:$Q$1174,9,0)),IF(ISERROR(VLOOKUP($A36,'liste reference'!$B$6:$Q$1174,8,0)),"    -",VLOOKUP($A36,'liste reference'!$B$6:$Q$1174,8,0)),VLOOKUP($A36,'liste reference'!$A$6:$Q$1174,9,0)))</f>
        <v>PTE</v>
      </c>
      <c r="H36" s="525" t="n">
        <f aca="false">IF(A36="","x",IF(ISERROR(VLOOKUP($A36,'liste reference'!$A$6:$Q$1174,10,0)),IF(ISERROR(VLOOKUP($A36,'liste reference'!$B$6:$Q$1174,9,0)),"x",VLOOKUP($A36,'liste reference'!$B$6:$Q$1174,9,0)),VLOOKUP($A36,'liste reference'!$A$6:$Q$1174,10,0)))</f>
        <v>6</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Osmunda regalis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1403</v>
      </c>
      <c r="R36" s="513" t="n">
        <f aca="false">IF(ISTEXT(H36),"",(B36*$B$7/100)+(C36*$C$7/100))</f>
        <v>0.002</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OSMREG</v>
      </c>
      <c r="Z36" s="499" t="n">
        <f aca="false">IF(ISERROR(MATCH(A36,'liste reference'!$A$6:$A$1174,0)),IF(ISERROR(MATCH(A36,'liste reference'!$B$6:$B$1174,0)),"",(MATCH(A36,'liste reference'!$B$6:$B$1174,0))),(MATCH(A36,'liste reference'!$A$6:$A$1174,0)))</f>
        <v>407</v>
      </c>
    </row>
    <row r="37" customFormat="false" ht="12.75" hidden="false" customHeight="false" outlineLevel="0" collapsed="false">
      <c r="A37" s="518" t="s">
        <v>2134</v>
      </c>
      <c r="B37" s="519" t="n">
        <v>0.1</v>
      </c>
      <c r="C37" s="520" t="n">
        <v>1</v>
      </c>
      <c r="D37" s="521" t="str">
        <f aca="false">IF(ISERROR(VLOOKUP($A37,'liste reference'!$A$6:$B$1174,2,0)),IF(ISERROR(VLOOKUP($A37,'liste reference'!$B$6:$B$1174,1,0)),"",VLOOKUP($A37,'liste reference'!$B$6:$B$1174,1,0)),VLOOKUP($A37,'liste reference'!$A$6:$B$1174,2,0))</f>
        <v>Mentha aquatica</v>
      </c>
      <c r="E37" s="522" t="e">
        <f aca="false">IF(D37="",0,VLOOKUP(D37,D$22:D36,1,0))</f>
        <v>#N/A</v>
      </c>
      <c r="F37" s="523" t="n">
        <f aca="false">IF(AND(OR(A37="",A37="!!!!!!"),B37="",C37=""),"",IF(OR(AND(B37="",C37=""),ISERROR(C37+B37)),"!!!",($B37*$B$7+$C37*$C$7)/100))</f>
        <v>0.46</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aquatica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1791</v>
      </c>
      <c r="R37" s="513" t="n">
        <f aca="false">IF(ISTEXT(H37),"",(B37*$B$7/100)+(C37*$C$7/100))</f>
        <v>0.46</v>
      </c>
      <c r="S37" s="514" t="n">
        <f aca="false">IF(OR(ISTEXT(H37),R37=0),"",IF(R37&lt;0.1,1,IF(R37&lt;1,2,IF(R37&lt;10,3,IF(R37&lt;50,4,IF(R37&gt;=50,5,""))))))</f>
        <v>2</v>
      </c>
      <c r="T37" s="514" t="n">
        <f aca="false">IF(ISERROR(S37*J37),0,S37*J37)</f>
        <v>24</v>
      </c>
      <c r="U37" s="514" t="n">
        <f aca="false">IF(ISERROR(S37*J37*K37),0,S37*J37*K37)</f>
        <v>24</v>
      </c>
      <c r="V37" s="530" t="n">
        <f aca="false">IF(ISERROR(S37*K37),0,S37*K37)</f>
        <v>2</v>
      </c>
      <c r="W37" s="531"/>
      <c r="X37" s="532"/>
      <c r="Y37" s="517" t="str">
        <f aca="false">IF(AND(ISNUMBER(F37),OR(A37="",A37="!!!!!!")),"!!!!!!",IF(A37="new.cod","NEWCOD",IF(AND((Z37=""),ISTEXT(A37),A37&lt;&gt;"!!!!!!"),A37,IF(Z37="","",INDEX('liste reference'!$A$6:$A$1174,Z37)))))</f>
        <v>MENAQU</v>
      </c>
      <c r="Z37" s="499" t="n">
        <f aca="false">IF(ISERROR(MATCH(A37,'liste reference'!$A$6:$A$1174,0)),IF(ISERROR(MATCH(A37,'liste reference'!$B$6:$B$1174,0)),"",(MATCH(A37,'liste reference'!$B$6:$B$1174,0))),(MATCH(A37,'liste reference'!$A$6:$A$1174,0)))</f>
        <v>694</v>
      </c>
    </row>
    <row r="38" customFormat="false" ht="12.75" hidden="false" customHeight="false" outlineLevel="0" collapsed="false">
      <c r="A38" s="518" t="s">
        <v>2164</v>
      </c>
      <c r="B38" s="519" t="n">
        <v>0.005</v>
      </c>
      <c r="C38" s="520"/>
      <c r="D38" s="521" t="str">
        <f aca="false">IF(ISERROR(VLOOKUP($A38,'liste reference'!$A$6:$B$1174,2,0)),IF(ISERROR(VLOOKUP($A38,'liste reference'!$B$6:$B$1174,1,0)),"",VLOOKUP($A38,'liste reference'!$B$6:$B$1174,1,0)),VLOOKUP($A38,'liste reference'!$A$6:$B$1174,2,0))</f>
        <v>Oenanthe crocata</v>
      </c>
      <c r="E38" s="522" t="e">
        <f aca="false">IF(D38="",0,VLOOKUP(D38,D$22:D37,1,0))</f>
        <v>#N/A</v>
      </c>
      <c r="F38" s="523" t="n">
        <f aca="false">IF(AND(OR(A38="",A38="!!!!!!"),B38="",C38=""),"",IF(OR(AND(B38="",C38=""),ISERROR(C38+B38)),"!!!",($B38*$B$7+$C38*$C$7)/100))</f>
        <v>0.003</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Oenanthe crocata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1986</v>
      </c>
      <c r="R38" s="513" t="n">
        <f aca="false">IF(ISTEXT(H38),"",(B38*$B$7/100)+(C38*$C$7/100))</f>
        <v>0.003</v>
      </c>
      <c r="S38" s="514" t="n">
        <f aca="false">IF(OR(ISTEXT(H38),R38=0),"",IF(R38&lt;0.1,1,IF(R38&lt;1,2,IF(R38&lt;10,3,IF(R38&lt;50,4,IF(R38&gt;=50,5,""))))))</f>
        <v>1</v>
      </c>
      <c r="T38" s="514" t="n">
        <f aca="false">IF(ISERROR(S38*J38),0,S38*J38)</f>
        <v>12</v>
      </c>
      <c r="U38" s="514" t="n">
        <f aca="false">IF(ISERROR(S38*J38*K38),0,S38*J38*K38)</f>
        <v>24</v>
      </c>
      <c r="V38" s="530" t="n">
        <f aca="false">IF(ISERROR(S38*K38),0,S38*K38)</f>
        <v>2</v>
      </c>
      <c r="W38" s="531"/>
      <c r="X38" s="532"/>
      <c r="Y38" s="517" t="str">
        <f aca="false">IF(AND(ISNUMBER(F38),OR(A38="",A38="!!!!!!")),"!!!!!!",IF(A38="new.cod","NEWCOD",IF(AND((Z38=""),ISTEXT(A38),A38&lt;&gt;"!!!!!!"),A38,IF(Z38="","",INDEX('liste reference'!$A$6:$A$1174,Z38)))))</f>
        <v>OENCRO</v>
      </c>
      <c r="Z38" s="499" t="n">
        <f aca="false">IF(ISERROR(MATCH(A38,'liste reference'!$A$6:$A$1174,0)),IF(ISERROR(MATCH(A38,'liste reference'!$B$6:$B$1174,0)),"",(MATCH(A38,'liste reference'!$B$6:$B$1174,0))),(MATCH(A38,'liste reference'!$A$6:$A$1174,0)))</f>
        <v>705</v>
      </c>
    </row>
    <row r="39" customFormat="false" ht="12.75" hidden="false" customHeight="false" outlineLevel="0" collapsed="false">
      <c r="A39" s="518" t="s">
        <v>2477</v>
      </c>
      <c r="B39" s="519" t="n">
        <v>0.005</v>
      </c>
      <c r="C39" s="520" t="n">
        <v>0.005</v>
      </c>
      <c r="D39" s="521" t="str">
        <f aca="false">IF(ISERROR(VLOOKUP($A39,'liste reference'!$A$6:$B$1174,2,0)),IF(ISERROR(VLOOKUP($A39,'liste reference'!$B$6:$B$1174,1,0)),"",VLOOKUP($A39,'liste reference'!$B$6:$B$1174,1,0)),VLOOKUP($A39,'liste reference'!$A$6:$B$1174,2,0))</f>
        <v>Cyperus longus</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Cyperus longus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1500</v>
      </c>
      <c r="R39" s="513" t="n">
        <f aca="false">IF(ISTEXT(H39),"",(B39*$B$7/100)+(C39*$C$7/100))</f>
        <v>0.005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CYPLON</v>
      </c>
      <c r="Z39" s="499" t="n">
        <f aca="false">IF(ISERROR(MATCH(A39,'liste reference'!$A$6:$A$1174,0)),IF(ISERROR(MATCH(A39,'liste reference'!$B$6:$B$1174,0)),"",(MATCH(A39,'liste reference'!$B$6:$B$1174,0))),(MATCH(A39,'liste reference'!$A$6:$A$1174,0)))</f>
        <v>825</v>
      </c>
    </row>
    <row r="40" customFormat="false" ht="12.75" hidden="false" customHeight="false" outlineLevel="0" collapsed="false">
      <c r="A40" s="518" t="s">
        <v>3463</v>
      </c>
      <c r="B40" s="519" t="n">
        <v>0.005</v>
      </c>
      <c r="C40" s="520"/>
      <c r="D40" s="521" t="str">
        <f aca="false">IF(ISERROR(VLOOKUP($A40,'liste reference'!$A$6:$B$1174,2,0)),IF(ISERROR(VLOOKUP($A40,'liste reference'!$B$6:$B$1174,1,0)),"",VLOOKUP($A40,'liste reference'!$B$6:$B$1174,1,0)),VLOOKUP($A40,'liste reference'!$A$6:$B$1174,2,0))</f>
        <v/>
      </c>
      <c r="E40" s="522" t="n">
        <f aca="false">IF(D40="",0,VLOOKUP(D40,D$22:D39,1,0))</f>
        <v>0</v>
      </c>
      <c r="F40" s="523" t="n">
        <f aca="false">IF(AND(OR(A40="",A40="!!!!!!"),B40="",C40=""),"",IF(OR(AND(B40="",C40=""),ISERROR(C40+B40)),"!!!",($B40*$B$7+$C40*$C$7)/100))</f>
        <v>0.003</v>
      </c>
      <c r="G40" s="524" t="str">
        <f aca="false">IF(A40="","",IF(ISERROR(VLOOKUP($A40,'liste reference'!$A$6:$Q$1174,9,0)),IF(ISERROR(VLOOKUP($A40,'liste reference'!$B$6:$Q$1174,8,0)),"    -",VLOOKUP($A40,'liste reference'!$B$6:$Q$1174,8,0)),VLOOKUP($A40,'liste reference'!$A$6:$Q$1174,9,0)))</f>
        <v>    -</v>
      </c>
      <c r="H40" s="525" t="str">
        <f aca="false">IF(A40="","x",IF(ISERROR(VLOOKUP($A40,'liste reference'!$A$6:$Q$1174,10,0)),IF(ISERROR(VLOOKUP($A40,'liste reference'!$B$6:$Q$1174,9,0)),"x",VLOOKUP($A40,'liste reference'!$B$6:$Q$1174,9,0)),VLOOKUP($A40,'liste reference'!$A$6:$Q$1174,10,0)))</f>
        <v>x</v>
      </c>
      <c r="I40" s="309" t="n">
        <f aca="false">IF(A40="","",1)</f>
        <v>1</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Coleochaete sp.</v>
      </c>
      <c r="M40" s="527"/>
      <c r="N40" s="527"/>
      <c r="O40" s="527"/>
      <c r="P40" s="528" t="s">
        <v>3462</v>
      </c>
      <c r="Q40" s="529" t="str">
        <f aca="false">IF(OR($A40="NEWCOD",$A40="!!!!!!"),IF(X40="","NoCod",X40),IF($A40="","",IF(ISERROR(VLOOKUP($A40,'liste reference'!$A$6:$H$1174,8,FALSE())),IF(ISERROR(VLOOKUP($A40,'liste reference'!$B$6:$H$1174,7,FALSE())),"",VLOOKUP($A40,'liste reference'!$B$6:$H$1174,7,FALSE())),VLOOKUP($A40,'liste reference'!$A$6:$H$1174,8,FALSE()))))</f>
        <v>NoCod</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t="s">
        <v>3464</v>
      </c>
      <c r="X40" s="532"/>
      <c r="Y40" s="517" t="str">
        <f aca="false">IF(AND(ISNUMBER(F40),OR(A40="",A40="!!!!!!")),"!!!!!!",IF(A40="new.cod","NEWCOD",IF(AND((Z40=""),ISTEXT(A40),A40&lt;&gt;"!!!!!!"),A40,IF(Z40="","",INDEX('liste reference'!$A$6:$A$1174,Z40)))))</f>
        <v>NEWCOD</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0.964</v>
      </c>
      <c r="G83" s="452"/>
      <c r="H83" s="452"/>
      <c r="I83" s="452"/>
      <c r="J83" s="452"/>
      <c r="K83" s="452"/>
      <c r="L83" s="452"/>
      <c r="M83" s="514"/>
      <c r="N83" s="514"/>
      <c r="O83" s="514"/>
      <c r="P83" s="514"/>
      <c r="Q83" s="514"/>
      <c r="R83" s="514"/>
      <c r="S83" s="514"/>
      <c r="T83" s="514"/>
      <c r="U83" s="514"/>
      <c r="V83" s="514" t="n">
        <f aca="false">SUM(V23:V82)</f>
        <v>26</v>
      </c>
      <c r="W83" s="514"/>
      <c r="X83" s="552"/>
      <c r="Y83" s="552"/>
      <c r="Z83" s="553"/>
    </row>
    <row r="84" customFormat="false" ht="12.75" hidden="true" customHeight="false" outlineLevel="0" collapsed="false">
      <c r="A84" s="547" t="str">
        <f aca="false">A3</f>
        <v>TARTAGINE</v>
      </c>
      <c r="B84" s="481" t="str">
        <f aca="false">C3</f>
        <v>Castifao</v>
      </c>
      <c r="C84" s="554" t="str">
        <f aca="false">A4</f>
        <v>(Date)</v>
      </c>
      <c r="D84" s="555" t="n">
        <f aca="false">IF(OR(ISERROR(SUM($U$23:$U$82)/SUM($V$23:$V$82)),F7&lt;&gt;100),-1,SUM($U$23:$U$82)/SUM($V$23:$V$82))</f>
        <v>12.6538461538462</v>
      </c>
      <c r="E84" s="556" t="n">
        <f aca="false">O13</f>
        <v>18</v>
      </c>
      <c r="F84" s="481" t="n">
        <f aca="false">O14</f>
        <v>12</v>
      </c>
      <c r="G84" s="481" t="n">
        <f aca="false">O15</f>
        <v>4</v>
      </c>
      <c r="H84" s="481" t="n">
        <f aca="false">O16</f>
        <v>7</v>
      </c>
      <c r="I84" s="481" t="n">
        <f aca="false">O17</f>
        <v>1</v>
      </c>
      <c r="J84" s="557" t="n">
        <f aca="false">O8</f>
        <v>11.75</v>
      </c>
      <c r="K84" s="558" t="n">
        <f aca="false">O9</f>
        <v>3.24358340933809</v>
      </c>
      <c r="L84" s="559" t="n">
        <f aca="false">O10</f>
        <v>5</v>
      </c>
      <c r="M84" s="559" t="n">
        <f aca="false">O11</f>
        <v>15</v>
      </c>
      <c r="N84" s="558" t="n">
        <f aca="false">P8</f>
        <v>1.75</v>
      </c>
      <c r="O84" s="558" t="n">
        <f aca="false">P9</f>
        <v>0.595119035711904</v>
      </c>
      <c r="P84" s="559" t="n">
        <f aca="false">P10</f>
        <v>1</v>
      </c>
      <c r="Q84" s="559" t="n">
        <f aca="false">P11</f>
        <v>3</v>
      </c>
      <c r="R84" s="559" t="n">
        <f aca="false">F21</f>
        <v>0.964</v>
      </c>
      <c r="S84" s="559" t="n">
        <f aca="false">L11</f>
        <v>0</v>
      </c>
      <c r="T84" s="559" t="n">
        <f aca="false">L12</f>
        <v>7</v>
      </c>
      <c r="U84" s="559" t="n">
        <f aca="false">L13</f>
        <v>5</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30</v>
      </c>
      <c r="U87" s="309"/>
      <c r="V87" s="309"/>
    </row>
    <row r="88" customFormat="false" ht="12.75" hidden="true" customHeight="false" outlineLevel="0" collapsed="false">
      <c r="C88" s="563"/>
      <c r="D88" s="563"/>
      <c r="E88" s="563"/>
      <c r="R88" s="309" t="s">
        <v>3445</v>
      </c>
      <c r="S88" s="309"/>
      <c r="T88" s="565" t="n">
        <f aca="false">VLOOKUP($T$91,($A$23:$U$82),21,FALSE())</f>
        <v>60</v>
      </c>
      <c r="U88" s="309"/>
      <c r="V88" s="309" t="n">
        <f aca="false">COUNTIF(V23:V82,T89)</f>
        <v>2</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12.2272727272727</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2016-04-13T14:09:16Z</dcterms:modified>
  <cp:revision>0</cp:revision>
  <dc:subject/>
  <dc:title>Feuille d'aide au calcul de l'IBMR</dc:title>
</cp:coreProperties>
</file>