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asaluna a Gavignano" sheetId="6" state="visible" r:id="rId8"/>
    <sheet name="modele" sheetId="7" state="hidden" r:id="rId9"/>
    <sheet name="liste codes réf" sheetId="8" state="hidden" r:id="rId10"/>
  </sheets>
  <definedNames>
    <definedName function="false" hidden="false" localSheetId="5" name="_xlnm.Print_Area" vbProcedure="false">'Casaluna a Gavignano'!$A$1:$O$82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'Casaluna a Gavignano'!$A$23:$J$84</definedName>
    <definedName function="false" hidden="false" localSheetId="5" name="NOM" vbProcedure="false">'Casaluna a Gavignano'!$H$1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<sst xmlns="http://schemas.openxmlformats.org/spreadsheetml/2006/main" count="7373" uniqueCount="3131">
  <si>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</si>
  <si>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</si>
  <si>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</si>
  <si>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</si>
  <si>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</si>
  <si>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</si>
  <si>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</si>
  <si>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</si>
  <si>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</si>
  <si>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</si>
  <si>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</si>
  <si>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</si>
  <si>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</si>
  <si>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</si>
  <si>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</si>
  <si>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</si>
  <si>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</si>
  <si>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</si>
  <si>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</si>
  <si>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</si>
  <si>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</si>
  <si>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</si>
  <si>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</si>
  <si>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</si>
  <si>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</si>
  <si>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</si>
  <si>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</si>
  <si>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</si>
  <si>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</si>
  <si>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</si>
  <si>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</si>
  <si>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</si>
  <si>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</si>
  <si>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</si>
  <si>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</si>
  <si>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</si>
  <si>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</si>
  <si>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</si>
  <si>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</si>
  <si>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</si>
  <si>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</si>
  <si>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</si>
  <si>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</si>
  <si>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</si>
  <si>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</si>
  <si>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</si>
  <si>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</si>
  <si>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</si>
  <si>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</si>
  <si>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</si>
  <si>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</si>
  <si>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</si>
  <si>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</si>
  <si>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</si>
  <si>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</si>
  <si>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</si>
  <si>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</si>
  <si>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</si>
  <si>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</si>
  <si>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</si>
  <si>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</si>
  <si>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</si>
  <si>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</si>
  <si>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</si>
  <si>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</si>
  <si>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</si>
  <si>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</si>
  <si>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</si>
  <si>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</si>
  <si>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</si>
  <si>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</si>
  <si>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</si>
  <si>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</si>
  <si>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</si>
  <si>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</si>
  <si>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</si>
  <si>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</si>
  <si>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</si>
  <si>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</si>
  <si>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</si>
  <si>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</si>
  <si>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</si>
  <si>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</si>
  <si>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</si>
  <si>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</si>
  <si>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</si>
  <si>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</si>
  <si>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</si>
  <si>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</si>
  <si>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</si>
  <si>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</si>
  <si>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</si>
  <si>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</si>
  <si>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</si>
  <si>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</si>
  <si>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</si>
  <si>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</si>
  <si>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</si>
  <si>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</si>
  <si>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</si>
  <si>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</si>
  <si>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</si>
  <si>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</si>
  <si>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</si>
  <si>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</si>
  <si>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</si>
  <si>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</si>
  <si>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</si>
  <si>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</si>
  <si>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</si>
  <si>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</si>
  <si>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</si>
  <si>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</si>
  <si>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</si>
  <si>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</si>
  <si>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</si>
  <si>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</si>
  <si>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</si>
  <si>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</si>
  <si>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</si>
  <si>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</si>
  <si>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</si>
  <si>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</si>
  <si>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</si>
  <si>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</si>
  <si>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</si>
  <si>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</si>
  <si>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</si>
  <si>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</si>
  <si>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</si>
  <si>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</si>
  <si>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</si>
  <si>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</si>
  <si>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</si>
  <si>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</si>
  <si>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</si>
  <si>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</si>
  <si>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</si>
  <si>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</si>
  <si>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</si>
  <si>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</si>
  <si>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</si>
  <si>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</si>
  <si>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</si>
  <si>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</si>
  <si>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</si>
  <si>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</si>
  <si>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</si>
  <si>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</si>
  <si>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</si>
  <si>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</si>
  <si>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</si>
  <si>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</si>
  <si>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</si>
  <si>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</si>
  <si>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</si>
  <si>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</si>
  <si>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</si>
  <si>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</si>
  <si>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</si>
  <si>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</si>
  <si>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</si>
  <si>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</si>
  <si>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</si>
  <si>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</si>
  <si>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</si>
  <si>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</si>
  <si>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</si>
  <si>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</si>
  <si>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</si>
  <si>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</si>
  <si>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</si>
  <si>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</si>
  <si>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</si>
  <si>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</si>
  <si>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</si>
  <si>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</si>
  <si>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</si>
  <si>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</si>
  <si>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</si>
  <si>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</si>
  <si>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</si>
  <si>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</si>
  <si>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</si>
  <si>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</si>
  <si>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</si>
  <si>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</si>
  <si>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</si>
  <si>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</si>
  <si>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</si>
  <si>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</si>
  <si>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</si>
  <si>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</si>
  <si>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</si>
  <si>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</si>
  <si>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</si>
  <si>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</si>
  <si>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</si>
  <si>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</si>
  <si>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</si>
  <si>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</si>
  <si>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</si>
  <si>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</si>
  <si>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</si>
  <si>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</si>
  <si>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</si>
  <si>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</si>
  <si>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</si>
  <si>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</si>
  <si>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</si>
  <si>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</si>
  <si>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</si>
  <si>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</si>
  <si>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</si>
  <si>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</si>
  <si>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</si>
  <si>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</si>
  <si>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</si>
  <si>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</si>
  <si>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</si>
  <si>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</si>
  <si>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</si>
  <si>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</si>
  <si>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</si>
  <si>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</si>
  <si>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</si>
  <si>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</si>
  <si>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</si>
  <si>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</si>
  <si>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</si>
  <si>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</si>
  <si>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</si>
  <si>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</si>
  <si>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</si>
  <si>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</si>
  <si>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</si>
  <si>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</si>
  <si>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</si>
  <si>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</si>
  <si>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</si>
  <si>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</si>
  <si>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</si>
  <si>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</si>
  <si>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</si>
  <si>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</si>
  <si>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</si>
  <si>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</si>
  <si>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</si>
  <si>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</si>
  <si>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</si>
  <si>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</si>
  <si>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</si>
  <si>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</si>
  <si>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</si>
  <si>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</si>
  <si>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</si>
  <si>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</si>
  <si>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</si>
  <si>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</si>
  <si>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</si>
  <si>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</si>
  <si>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</si>
  <si>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</si>
  <si>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</si>
  <si>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</si>
  <si>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</si>
  <si>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</si>
  <si>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</si>
  <si>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</si>
  <si>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</si>
  <si>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</si>
  <si>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</si>
  <si>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</si>
  <si>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</si>
  <si>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</si>
  <si>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</si>
  <si>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</si>
  <si>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</si>
  <si>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</si>
  <si>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</si>
  <si>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</si>
  <si>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</si>
  <si>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</si>
  <si>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</si>
  <si>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</si>
  <si>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</si>
  <si>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</si>
  <si>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</si>
  <si>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</si>
  <si>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</si>
  <si>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</si>
  <si>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</si>
  <si>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</si>
  <si>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</si>
  <si>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</si>
  <si>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</si>
  <si>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</si>
  <si>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</si>
  <si>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</si>
  <si>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</si>
  <si>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</si>
  <si>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</si>
  <si>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</si>
  <si>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</si>
  <si>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</si>
  <si>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</si>
  <si>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</si>
  <si>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</si>
  <si>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</si>
  <si>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</si>
  <si>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</si>
  <si>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</si>
  <si>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</si>
  <si>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</si>
  <si>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</si>
  <si>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</si>
  <si>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</si>
  <si>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</si>
  <si>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</si>
  <si>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</si>
  <si>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</si>
  <si>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</si>
  <si>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</si>
  <si>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</si>
  <si>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</si>
  <si>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</si>
  <si>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</si>
  <si>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</si>
  <si>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</si>
  <si>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</si>
  <si>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</si>
  <si>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</si>
  <si>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</si>
  <si>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</si>
  <si>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</si>
  <si>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</si>
  <si>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</si>
  <si>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</si>
  <si>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</si>
  <si>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</si>
  <si>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</si>
  <si>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</si>
  <si>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</si>
  <si>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</si>
  <si>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</si>
  <si>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</si>
  <si>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</si>
  <si>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</si>
  <si>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</si>
  <si>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</si>
  <si>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</si>
  <si>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</si>
  <si>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</si>
  <si>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</si>
  <si>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</si>
  <si>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</si>
  <si>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</si>
  <si>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</si>
  <si>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</si>
  <si>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</si>
  <si>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</si>
  <si>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</si>
  <si>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</si>
  <si>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</si>
  <si>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</si>
  <si>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</si>
  <si>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</si>
  <si>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</si>
  <si>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</si>
  <si>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</si>
  <si>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</si>
  <si>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</si>
  <si>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</si>
  <si>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</si>
  <si>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</si>
  <si>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</si>
  <si>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</si>
  <si>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</si>
  <si>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</si>
  <si>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</si>
  <si>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</si>
  <si>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</si>
  <si>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</si>
  <si>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</si>
  <si>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</si>
  <si>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</si>
  <si>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</si>
  <si>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</si>
  <si>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</si>
  <si>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</si>
  <si>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</si>
  <si>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</si>
  <si>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</si>
  <si>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</si>
  <si>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</si>
  <si>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</si>
  <si>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</si>
  <si>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</si>
  <si>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</si>
  <si>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</si>
  <si>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</si>
  <si>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</si>
  <si>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</si>
  <si>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</si>
  <si>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</si>
  <si>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</si>
  <si>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</si>
  <si>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</si>
  <si>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</si>
  <si>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</si>
  <si>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</si>
  <si>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</si>
  <si>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</si>
  <si>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</si>
  <si>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</si>
  <si>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</si>
  <si>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</si>
  <si>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</si>
  <si>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</si>
  <si>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</si>
  <si>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</si>
  <si>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</si>
  <si>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</si>
  <si>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</si>
  <si>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</si>
  <si>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</si>
  <si>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</si>
  <si>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</si>
  <si>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</si>
  <si>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</si>
  <si>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</si>
  <si>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</si>
  <si>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</si>
  <si>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</si>
  <si>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</si>
  <si>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</si>
  <si>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</si>
  <si>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</si>
  <si>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</si>
  <si>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</si>
  <si>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</si>
  <si>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</si>
  <si>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</si>
  <si>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</si>
  <si>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</si>
  <si>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</si>
  <si>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</si>
  <si>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</si>
  <si>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</si>
  <si>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</si>
  <si>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</si>
  <si>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</si>
  <si>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</si>
  <si>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</si>
  <si>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</si>
  <si>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</si>
  <si>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</si>
  <si>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</si>
  <si>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</si>
  <si>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</si>
  <si>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</si>
  <si>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</si>
  <si>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</si>
  <si>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</si>
  <si>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</si>
  <si>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</si>
  <si>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</si>
  <si>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</si>
  <si>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</si>
  <si>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</si>
  <si>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</si>
  <si>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</si>
  <si>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</si>
  <si>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</si>
  <si>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</si>
  <si>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</si>
  <si>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</si>
  <si>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</si>
  <si>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</si>
  <si>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</si>
  <si>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</si>
  <si>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</si>
  <si>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</si>
  <si>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</si>
  <si>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</si>
  <si>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</si>
  <si>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</si>
  <si>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</si>
  <si>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</si>
  <si>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</si>
  <si>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</si>
  <si>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</si>
  <si>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</si>
  <si>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</si>
  <si>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</si>
  <si>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</si>
  <si>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</si>
  <si>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</si>
  <si>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</si>
  <si>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</si>
  <si>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</si>
  <si>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</si>
  <si>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</si>
  <si>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</si>
  <si>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</si>
  <si>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</si>
  <si>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</si>
  <si>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</si>
  <si>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</si>
  <si>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</si>
  <si>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</si>
  <si>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</si>
  <si>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</si>
  <si>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</si>
  <si>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</si>
  <si>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</si>
  <si>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</si>
  <si>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</si>
  <si>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</si>
  <si>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</si>
  <si>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</si>
  <si>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</si>
  <si>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</si>
  <si>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</si>
  <si>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</si>
  <si>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</si>
  <si>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</si>
  <si>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</si>
  <si>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</si>
  <si>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</si>
  <si>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</si>
  <si>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</si>
  <si>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</si>
  <si>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</si>
  <si>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</si>
  <si>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</si>
  <si>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</si>
  <si>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</si>
  <si>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</si>
  <si>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</si>
  <si>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</si>
  <si>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</si>
  <si>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</si>
  <si>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</si>
  <si>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</si>
  <si>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</si>
  <si>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</si>
  <si>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</si>
  <si>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</si>
  <si>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</si>
  <si>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</si>
  <si>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</si>
  <si>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</si>
  <si>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</si>
  <si>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</si>
  <si>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</si>
  <si>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</si>
  <si>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</si>
  <si>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</si>
  <si>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</si>
  <si>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</si>
  <si>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</si>
  <si>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</si>
  <si>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</si>
  <si>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</si>
  <si>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</si>
  <si>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</si>
  <si>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</si>
  <si>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</si>
  <si>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</si>
  <si>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</si>
  <si>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</si>
  <si>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</si>
  <si>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</si>
  <si>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</si>
  <si>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</si>
  <si>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</si>
  <si>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</si>
  <si>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</si>
  <si>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</si>
  <si>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</si>
  <si>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</si>
  <si>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</si>
  <si>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</si>
  <si>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</si>
  <si>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</si>
  <si>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</si>
  <si>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</si>
  <si>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</si>
  <si>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</si>
  <si>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</si>
  <si>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</si>
  <si>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</si>
  <si>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</si>
  <si>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</si>
  <si>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</si>
  <si>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</si>
  <si>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</si>
  <si>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</si>
  <si>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</si>
  <si>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</si>
  <si>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</si>
  <si>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</si>
  <si>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</si>
  <si>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</si>
  <si>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</si>
  <si>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</si>
  <si>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</si>
  <si>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</si>
  <si>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</si>
  <si>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</si>
  <si>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</si>
  <si>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</si>
  <si>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</si>
  <si>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</si>
  <si>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</si>
  <si>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</si>
  <si>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</si>
  <si>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</si>
  <si>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</si>
  <si>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</si>
  <si>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</si>
  <si>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</si>
  <si>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</si>
  <si>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</si>
  <si>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</si>
  <si>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</si>
  <si>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</si>
  <si>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</si>
  <si>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</si>
  <si>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</si>
  <si>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</si>
  <si>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</si>
  <si>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</si>
  <si>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</si>
  <si>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</si>
  <si>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</si>
  <si>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</si>
  <si>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</si>
  <si>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</si>
  <si>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</si>
  <si>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</si>
  <si>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</si>
  <si>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</si>
  <si>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</si>
  <si>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</si>
  <si>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</si>
  <si>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</si>
  <si>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</si>
  <si>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</si>
  <si>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</si>
  <si>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</si>
  <si>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</si>
  <si>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</si>
  <si>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</si>
  <si>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</si>
  <si>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</si>
  <si>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</si>
  <si>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</si>
  <si>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</si>
  <si>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</si>
  <si>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</si>
  <si>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</si>
  <si>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</si>
  <si>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</si>
  <si>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</si>
  <si>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</si>
  <si>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</si>
  <si>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</si>
  <si>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</si>
  <si>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</si>
  <si>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</si>
  <si>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</si>
  <si>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</si>
  <si>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</si>
  <si>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</si>
  <si>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</si>
  <si>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</si>
  <si>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</si>
  <si>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</si>
  <si>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</si>
  <si>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</si>
  <si>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</si>
  <si>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</si>
  <si>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</si>
  <si>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</si>
  <si>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</si>
  <si>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</si>
  <si>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</si>
  <si>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</si>
  <si>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</si>
  <si>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</si>
  <si>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</si>
  <si>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</si>
  <si>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</si>
  <si>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</si>
  <si>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</si>
  <si>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</si>
  <si>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</si>
  <si>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</si>
  <si>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</si>
  <si>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</si>
  <si>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</si>
  <si>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</si>
  <si>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</si>
  <si>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</si>
  <si>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</si>
  <si>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</si>
  <si>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</si>
  <si>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</si>
  <si>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</si>
  <si>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</si>
  <si>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</si>
  <si>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</si>
  <si>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</si>
  <si>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</si>
  <si>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</si>
  <si>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</si>
  <si>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</si>
  <si>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</si>
  <si>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</si>
  <si>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</si>
  <si>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</si>
  <si>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</si>
  <si>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</si>
  <si>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</si>
  <si>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</si>
  <si>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</si>
  <si>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</si>
  <si>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</si>
  <si>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</si>
  <si>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</si>
  <si>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</si>
  <si>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</si>
  <si>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</si>
  <si>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</si>
  <si>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</si>
  <si>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</si>
  <si>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</si>
  <si>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</si>
  <si>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</si>
  <si>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</si>
  <si>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</si>
  <si>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</si>
  <si>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</si>
  <si>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</si>
  <si>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</si>
  <si>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</si>
  <si>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</si>
  <si>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</si>
  <si>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</si>
  <si>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</si>
  <si>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</si>
  <si>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</si>
  <si>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</si>
  <si>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</si>
  <si>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</si>
  <si>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</si>
  <si>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</si>
  <si>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</si>
  <si>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</si>
  <si>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</si>
  <si>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</si>
  <si>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</si>
  <si>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</si>
  <si>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</si>
  <si>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</si>
  <si>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</si>
  <si>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</si>
  <si>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</si>
  <si>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</si>
  <si>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</si>
  <si>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</si>
  <si>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</si>
  <si>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</si>
  <si>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</si>
  <si>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</si>
  <si>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</si>
  <si>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</si>
  <si>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</si>
  <si>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</si>
  <si>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</si>
  <si>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</si>
  <si>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</si>
  <si>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</si>
  <si>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</si>
  <si>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</si>
  <si>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</si>
  <si>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</si>
  <si>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</si>
  <si>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</si>
  <si>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</si>
  <si>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</si>
  <si>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</si>
  <si>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</si>
  <si>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</si>
  <si>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</si>
  <si>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</si>
  <si>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</si>
  <si>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</si>
  <si>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</si>
  <si>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</si>
  <si>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</si>
  <si>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</si>
  <si>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</si>
  <si>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</si>
  <si>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</si>
  <si>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</si>
  <si>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</si>
  <si>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</si>
  <si>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</si>
  <si>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</si>
  <si>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</si>
  <si>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</si>
  <si>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</si>
  <si>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</si>
  <si>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</si>
  <si>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</si>
  <si>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</si>
  <si>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</si>
  <si>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</si>
  <si>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</si>
  <si>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</si>
  <si>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</si>
  <si>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</si>
  <si>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</si>
  <si>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</si>
  <si>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</si>
  <si>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</si>
  <si>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</si>
  <si>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</si>
  <si>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</si>
  <si>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</si>
  <si>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</si>
  <si>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</si>
  <si>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</si>
  <si>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</si>
  <si>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</si>
  <si>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</si>
  <si>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</si>
  <si>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</si>
  <si>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</si>
  <si>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</si>
  <si>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</si>
  <si>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</si>
  <si>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</si>
  <si>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</si>
  <si>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</si>
  <si>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</si>
  <si>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</si>
  <si>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</si>
  <si>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</si>
  <si>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</si>
  <si>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</si>
  <si>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</si>
  <si>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</si>
  <si>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</si>
  <si>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</si>
  <si>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</si>
  <si>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</si>
  <si>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</si>
  <si>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</si>
  <si>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</si>
  <si>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</si>
  <si>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</si>
  <si>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</si>
  <si>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</si>
  <si>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</si>
  <si>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</si>
  <si>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</si>
  <si>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</si>
  <si>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</si>
  <si>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</si>
  <si>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</si>
  <si>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</si>
  <si>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</si>
  <si>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</si>
  <si>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</si>
  <si>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</si>
  <si>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</si>
  <si>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</si>
  <si>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</si>
  <si>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</si>
  <si>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</si>
  <si>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</si>
  <si>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</si>
  <si>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</si>
  <si>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</si>
  <si>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</si>
  <si>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</si>
  <si>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</si>
  <si>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</si>
  <si>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</si>
  <si>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</si>
  <si>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</si>
  <si>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</si>
  <si>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</si>
  <si>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</si>
  <si>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</si>
  <si>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</si>
  <si>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</si>
  <si>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</si>
  <si>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</si>
  <si>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</si>
  <si>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</si>
  <si>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</si>
  <si>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</si>
  <si>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</si>
  <si>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</si>
  <si>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</si>
  <si>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</si>
  <si>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</si>
  <si>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</si>
  <si>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</si>
  <si>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</si>
  <si>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</si>
  <si>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</si>
  <si>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</si>
  <si>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</si>
  <si>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</si>
  <si>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</si>
  <si>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</si>
  <si>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</si>
  <si>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</si>
  <si>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</si>
  <si>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</si>
  <si>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</si>
  <si>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</si>
  <si>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</si>
  <si>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</si>
  <si>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</si>
  <si>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</si>
  <si>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</si>
  <si>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</si>
  <si>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</si>
  <si>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</si>
  <si>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</si>
  <si>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</si>
  <si>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</si>
  <si>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</si>
  <si>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</si>
  <si>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</si>
  <si>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</si>
  <si>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</si>
  <si>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</si>
  <si>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</si>
  <si>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</si>
  <si>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</si>
  <si>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</si>
  <si>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</si>
  <si>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</si>
  <si>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</si>
  <si>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</si>
  <si>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</si>
  <si>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</si>
  <si>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</si>
  <si>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</si>
  <si>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</si>
  <si>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</si>
  <si>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</si>
  <si>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</si>
  <si>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</si>
  <si>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</si>
  <si>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</si>
  <si>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</si>
  <si>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</si>
  <si>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</si>
  <si>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</si>
  <si>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</si>
  <si>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</si>
  <si>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</si>
  <si>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</si>
  <si>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</si>
  <si>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</si>
  <si>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</si>
  <si>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</si>
  <si>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</si>
  <si>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</si>
  <si>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</si>
  <si>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</si>
  <si>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</si>
  <si>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</si>
  <si>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</si>
  <si>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</si>
  <si>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</si>
  <si>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</si>
  <si>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</si>
  <si>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</si>
  <si>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</si>
  <si>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</si>
  <si>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</si>
  <si>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</si>
  <si>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</si>
  <si>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</si>
  <si>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</si>
  <si>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</si>
  <si>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</si>
  <si>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</si>
  <si>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</si>
  <si>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</si>
  <si>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</si>
  <si>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</si>
  <si>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</si>
  <si>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</si>
  <si>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</si>
  <si>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</si>
  <si>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</si>
  <si>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</si>
  <si>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</si>
  <si>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</si>
  <si>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</si>
  <si>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</si>
  <si>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</si>
  <si>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</si>
  <si>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</si>
  <si>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</si>
  <si>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</si>
  <si>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</si>
  <si>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</si>
  <si>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</si>
  <si>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</si>
  <si>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</si>
  <si>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</si>
  <si>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</si>
  <si>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</si>
  <si>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</si>
  <si>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</si>
  <si>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</si>
  <si>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</si>
  <si>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</si>
  <si>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</si>
  <si>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</si>
  <si>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</si>
  <si>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</si>
  <si>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</si>
  <si>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</si>
  <si>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</si>
  <si>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</si>
  <si>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</si>
  <si>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</si>
  <si>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</si>
  <si>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</si>
  <si>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</si>
  <si>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</si>
  <si>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</si>
  <si>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</si>
  <si>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</si>
  <si>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</si>
  <si>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</si>
  <si>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</si>
  <si>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</si>
  <si>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</si>
  <si>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</si>
  <si>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</si>
  <si>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</si>
  <si>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</si>
  <si>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</si>
  <si>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</si>
  <si>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</si>
  <si>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</si>
  <si>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</si>
  <si>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</si>
  <si>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</si>
  <si>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</si>
  <si>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</si>
  <si>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</si>
  <si>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</si>
  <si>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</si>
  <si>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</si>
  <si>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</si>
  <si>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</si>
  <si>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</si>
  <si>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</si>
  <si>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</si>
  <si>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</si>
  <si>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</si>
  <si>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</si>
  <si>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</si>
  <si>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</si>
  <si>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</si>
  <si>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</si>
  <si>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</si>
  <si>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</si>
  <si>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</si>
  <si>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</si>
  <si>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</si>
  <si>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</si>
  <si>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</si>
  <si>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</si>
  <si>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</si>
  <si>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</si>
  <si>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</si>
  <si>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</si>
  <si>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</si>
  <si>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</si>
  <si>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</si>
  <si>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</si>
  <si>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</si>
  <si>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</si>
  <si>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</si>
  <si>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</si>
  <si>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</si>
  <si>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</si>
  <si>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</si>
  <si>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</si>
  <si>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</si>
  <si>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</si>
  <si>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</si>
  <si>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</si>
  <si>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</si>
  <si>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</si>
  <si>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</si>
  <si>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</si>
  <si>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</si>
  <si>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</si>
  <si>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</si>
  <si>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</si>
  <si>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</si>
  <si>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</si>
  <si>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</si>
  <si>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</si>
  <si>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</si>
  <si>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</si>
  <si>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</si>
  <si>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</si>
  <si>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</si>
  <si>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</si>
  <si>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</si>
  <si>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</si>
  <si>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</si>
  <si>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</si>
  <si>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</si>
  <si>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</si>
  <si>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</si>
  <si>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</si>
  <si>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</si>
  <si>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</si>
  <si>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</si>
  <si>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</si>
  <si>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</si>
  <si>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</si>
  <si>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</si>
  <si>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</si>
  <si>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</si>
  <si>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</si>
  <si>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</si>
  <si>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</si>
  <si>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</si>
  <si>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</si>
  <si>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</si>
  <si>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</si>
  <si>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</si>
  <si>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</si>
  <si>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</si>
  <si>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</si>
  <si>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</si>
  <si>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</si>
  <si>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</si>
  <si>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</si>
  <si>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</si>
  <si>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</si>
  <si>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</si>
  <si>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</si>
  <si>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</si>
  <si>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</si>
  <si>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</si>
  <si>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</si>
  <si>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</si>
  <si>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</si>
  <si>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</si>
  <si>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</si>
  <si>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</si>
  <si>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</si>
  <si>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</si>
  <si>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</si>
  <si>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</si>
  <si>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</si>
  <si>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</si>
  <si>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</si>
  <si>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</si>
  <si>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</si>
  <si>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</si>
  <si>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</si>
  <si>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</si>
  <si>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</si>
  <si>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</si>
  <si>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</si>
  <si>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</si>
  <si>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</si>
  <si>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</si>
  <si>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</si>
  <si>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</si>
  <si>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</si>
  <si>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</si>
  <si>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</si>
  <si>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</si>
  <si>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</si>
  <si>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</si>
  <si>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</si>
  <si>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</si>
  <si>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</si>
  <si>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</si>
  <si>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</si>
  <si>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</si>
  <si>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</si>
  <si>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</si>
  <si>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</si>
  <si>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</si>
  <si>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</si>
  <si>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</si>
  <si>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</si>
  <si>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</si>
  <si>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</si>
  <si>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</si>
  <si>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</si>
  <si>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</si>
  <si>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</si>
  <si>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</si>
  <si>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</si>
  <si>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</si>
  <si>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</si>
  <si>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</si>
  <si>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</si>
  <si>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</si>
  <si>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</si>
  <si>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</si>
  <si>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</si>
  <si>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</si>
  <si>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</si>
  <si>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</si>
  <si>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</si>
  <si>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</si>
  <si>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</si>
  <si>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</si>
  <si>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</si>
  <si>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</si>
  <si>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</si>
  <si>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</si>
  <si>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</si>
  <si>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</si>
  <si>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</si>
  <si>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</si>
  <si>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</si>
  <si>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</si>
  <si>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</si>
  <si>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</si>
  <si>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</si>
  <si>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</si>
  <si>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</si>
  <si>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</si>
  <si>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</si>
  <si>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</si>
  <si>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</si>
  <si>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</si>
  <si>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</si>
  <si>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</si>
  <si>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</si>
  <si>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</si>
  <si>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</si>
  <si>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</si>
  <si>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</si>
  <si>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</si>
  <si>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</si>
  <si>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</si>
  <si>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</si>
  <si>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</si>
  <si>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</si>
  <si>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</si>
  <si>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</si>
  <si>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</si>
  <si>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</si>
  <si>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</si>
  <si>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</si>
  <si>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</si>
  <si>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</si>
  <si>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</si>
  <si>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</si>
  <si>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</si>
  <si>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</si>
  <si>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</si>
  <si>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</si>
  <si>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</si>
  <si>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</si>
  <si>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</si>
  <si>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</si>
  <si>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</si>
  <si>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</si>
  <si>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</si>
  <si>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</si>
  <si>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</si>
  <si>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</si>
  <si>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</si>
  <si>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</si>
  <si>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</si>
  <si>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</si>
  <si>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</si>
  <si>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</si>
  <si>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</si>
  <si>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</si>
  <si>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</si>
  <si>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</si>
  <si>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</si>
  <si>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</si>
  <si>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</si>
  <si>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</si>
  <si>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</si>
  <si>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</si>
  <si>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</si>
  <si>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</si>
  <si>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</si>
  <si>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</si>
  <si>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</si>
  <si>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</si>
  <si>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</si>
  <si>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</si>
  <si>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</si>
  <si>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</si>
  <si>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</si>
  <si>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</si>
  <si>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</si>
  <si>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</si>
  <si>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</si>
  <si>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</si>
  <si>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</si>
  <si>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</si>
  <si>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</si>
  <si>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</si>
  <si>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</si>
  <si>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</si>
  <si>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</si>
  <si>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</si>
  <si>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</si>
  <si>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</si>
  <si>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</si>
  <si>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</si>
  <si>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</si>
  <si>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</si>
  <si>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</si>
  <si>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</si>
  <si>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</si>
  <si>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</si>
  <si>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</si>
  <si>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</si>
  <si>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</si>
  <si>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</si>
  <si>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</si>
  <si>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</si>
  <si>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</si>
  <si>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</si>
  <si>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</si>
  <si>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</si>
  <si>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</si>
  <si>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</si>
  <si>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</si>
  <si>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</si>
  <si>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</si>
  <si>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</si>
  <si>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</si>
  <si>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</si>
  <si>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</si>
  <si>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</si>
  <si>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</si>
  <si>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</si>
  <si>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</si>
  <si>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</si>
  <si>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</si>
  <si>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</si>
  <si>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</si>
  <si>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</si>
  <si>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</si>
  <si>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</si>
  <si>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</si>
  <si>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</si>
  <si>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</si>
  <si>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</si>
  <si>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</si>
  <si>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</si>
  <si>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</si>
  <si>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</si>
  <si>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</si>
  <si>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</si>
  <si>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</si>
  <si>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</si>
  <si>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</si>
  <si>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</si>
  <si>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</si>
  <si>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</si>
  <si>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</si>
  <si>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</si>
  <si>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</si>
  <si>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</si>
  <si>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</si>
  <si>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</si>
  <si>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</si>
  <si>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</si>
  <si>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</si>
  <si>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</si>
  <si>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</si>
  <si>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</si>
  <si>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</si>
  <si>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</si>
  <si>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</si>
  <si>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</si>
  <si>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</si>
  <si>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</si>
  <si>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</si>
  <si>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</si>
  <si>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</si>
  <si>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</si>
  <si>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</si>
  <si>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</si>
  <si>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</si>
  <si>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</si>
  <si>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</si>
  <si>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</si>
  <si>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</si>
  <si>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</si>
  <si>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</si>
  <si>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</si>
  <si>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</si>
  <si>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</si>
  <si>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</si>
  <si>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</si>
  <si>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</si>
  <si>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</si>
  <si>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</si>
  <si>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</si>
  <si>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</si>
  <si>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</si>
  <si>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</si>
  <si>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</si>
  <si>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</si>
  <si>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</si>
  <si>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</si>
  <si>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</si>
  <si>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</si>
  <si>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</si>
  <si>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</si>
  <si>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</si>
  <si>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</si>
  <si>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</si>
  <si>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</si>
  <si>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</si>
  <si>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</si>
  <si>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</si>
  <si>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</si>
  <si>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</si>
  <si>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</si>
  <si>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</si>
  <si>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</si>
  <si>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</si>
  <si>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</si>
  <si>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</si>
  <si>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</si>
  <si>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</si>
  <si>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</si>
  <si>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</si>
  <si>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</si>
  <si>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</si>
  <si>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</si>
  <si>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</si>
  <si>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</si>
  <si>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</si>
  <si>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</si>
  <si>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</si>
  <si>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</si>
  <si>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</si>
  <si>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</si>
  <si>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</si>
  <si>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</si>
  <si>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</si>
  <si>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</si>
  <si>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</si>
  <si>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</si>
  <si>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</si>
  <si>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</si>
  <si>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</si>
  <si>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</si>
  <si>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</si>
  <si>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</si>
  <si>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</si>
  <si>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</si>
  <si>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</si>
  <si>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</si>
  <si>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</si>
  <si>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</si>
  <si>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</si>
  <si>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</si>
  <si>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</si>
  <si>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</si>
  <si>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</si>
  <si>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</si>
  <si>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</si>
  <si>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</si>
  <si>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</si>
  <si>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</si>
  <si>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</si>
  <si>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</si>
  <si>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</si>
  <si>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</si>
  <si>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</si>
  <si>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</si>
  <si>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</si>
  <si>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</si>
  <si>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</si>
  <si>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</si>
  <si>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</si>
  <si>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</si>
  <si>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</si>
  <si>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</si>
  <si>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</si>
  <si>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</si>
  <si>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</si>
  <si>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</si>
  <si>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</si>
  <si>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</si>
  <si>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</si>
  <si>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</si>
  <si>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</si>
  <si>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</si>
  <si>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</si>
  <si>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</si>
  <si>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</si>
  <si>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</si>
  <si>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</si>
  <si>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</si>
  <si>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</si>
  <si>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</si>
  <si>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</si>
  <si>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</si>
  <si>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</si>
  <si>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</si>
  <si>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</si>
  <si>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</si>
  <si>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</si>
  <si>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</si>
  <si>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</si>
  <si>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</si>
  <si>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</si>
  <si>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</si>
  <si>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</si>
  <si>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</si>
  <si>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</si>
  <si>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</si>
  <si>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</si>
  <si>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</si>
  <si>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</si>
  <si>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</si>
  <si>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</si>
  <si>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</si>
  <si>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</si>
  <si>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</si>
  <si>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</si>
  <si>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</si>
  <si>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</si>
  <si>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</si>
  <si>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</si>
  <si>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</si>
  <si>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</si>
  <si>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</si>
  <si>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</si>
  <si>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</si>
  <si>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</si>
  <si>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</si>
  <si>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</si>
  <si>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</si>
  <si>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</si>
  <si>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</si>
  <si>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</si>
  <si>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</si>
  <si>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</si>
  <si>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</si>
  <si>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</si>
  <si>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</si>
  <si>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</si>
  <si>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</si>
  <si>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</si>
  <si>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</si>
  <si>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</si>
  <si>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</si>
  <si>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</si>
  <si>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</si>
  <si>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</si>
  <si>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</si>
  <si>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</si>
  <si>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</si>
  <si>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</si>
  <si>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</si>
  <si>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</si>
  <si>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</si>
  <si>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</si>
  <si>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</si>
  <si>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</si>
  <si>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</si>
  <si>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</si>
  <si>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</si>
  <si>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</si>
  <si>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</si>
  <si>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</si>
  <si>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</si>
  <si>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</si>
  <si>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</si>
  <si>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</si>
  <si>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</si>
  <si>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</si>
  <si>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</si>
  <si>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</si>
  <si>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</si>
  <si>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</si>
  <si>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</si>
  <si>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</si>
  <si>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</si>
  <si>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</si>
  <si>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</si>
  <si>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</si>
  <si>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</si>
  <si>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</si>
  <si>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</si>
  <si>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</si>
  <si>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</si>
  <si>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</si>
  <si>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</si>
  <si>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</si>
  <si>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</si>
  <si>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</si>
  <si>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</si>
  <si>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</si>
  <si>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</si>
  <si>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</si>
  <si>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</si>
  <si>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</si>
  <si>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</si>
  <si>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</si>
  <si>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</si>
  <si>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</si>
  <si>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</si>
  <si>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</si>
  <si>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</si>
  <si>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</si>
  <si>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</si>
  <si>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</si>
  <si>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</si>
  <si>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</si>
  <si>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</si>
  <si>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</si>
  <si>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</si>
  <si>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</si>
  <si>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</si>
  <si>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</si>
  <si>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</si>
  <si>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</si>
  <si>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</si>
  <si>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</si>
  <si>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</si>
  <si>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</si>
  <si>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</si>
  <si>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</si>
  <si>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</si>
  <si>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</si>
  <si>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</si>
  <si>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</si>
  <si>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</si>
  <si>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</si>
  <si>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</si>
  <si>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</si>
  <si>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</si>
  <si>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</si>
  <si>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</si>
  <si>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</si>
  <si>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</si>
  <si>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</si>
  <si>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</si>
  <si>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</si>
  <si>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</si>
  <si>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</si>
  <si>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</si>
  <si>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</si>
  <si>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</si>
  <si>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</si>
  <si>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</si>
  <si>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</si>
  <si>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</si>
  <si>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</si>
  <si>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</si>
  <si>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</si>
  <si>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</si>
  <si>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</si>
  <si>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</si>
  <si>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</si>
  <si>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</si>
  <si>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</si>
  <si>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</si>
  <si>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</si>
  <si>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</si>
  <si>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</si>
  <si>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</si>
  <si>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</si>
  <si>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</si>
  <si>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</si>
  <si>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</si>
  <si>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</si>
  <si>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</si>
  <si>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</si>
  <si>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</si>
  <si>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</si>
  <si>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</si>
  <si>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</si>
  <si>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</si>
  <si>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</si>
  <si>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</si>
  <si>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</si>
  <si>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</si>
  <si>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</si>
  <si>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</si>
  <si>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</si>
  <si>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</si>
  <si>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</si>
  <si>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</si>
  <si>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</si>
  <si>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</si>
  <si>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</si>
  <si>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</si>
  <si>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</si>
  <si>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</si>
  <si>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</si>
  <si>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</si>
  <si>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</si>
  <si>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</si>
  <si>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</si>
  <si>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</si>
  <si>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</si>
  <si>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</si>
  <si>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</si>
  <si>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</si>
  <si>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</si>
  <si>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</si>
  <si>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</si>
  <si>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</si>
  <si>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</si>
  <si>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</si>
  <si>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</si>
  <si>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</si>
  <si>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</si>
  <si>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</si>
  <si>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</si>
  <si>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</si>
  <si>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</si>
  <si>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</si>
  <si>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</si>
  <si>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</si>
  <si>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</si>
  <si>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</si>
  <si>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</si>
  <si>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</si>
  <si>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</si>
  <si>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</si>
  <si>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</si>
  <si>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</si>
  <si>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</si>
  <si>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</si>
  <si>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</si>
  <si>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</si>
  <si>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</si>
  <si>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</si>
  <si>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</si>
  <si>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</si>
  <si>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</si>
  <si>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</si>
  <si>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</si>
  <si>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</si>
  <si>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</si>
  <si>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</si>
  <si>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</si>
  <si>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</si>
  <si>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</si>
  <si>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</si>
  <si>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</si>
  <si>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</si>
  <si>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</si>
  <si>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</si>
  <si>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</si>
  <si>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</si>
  <si>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</si>
  <si>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</si>
  <si>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</si>
  <si>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</si>
  <si>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</si>
  <si>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</si>
  <si>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</si>
  <si>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</si>
  <si>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</si>
  <si>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</si>
  <si>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</si>
  <si>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</si>
  <si>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</si>
  <si>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</si>
  <si>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</si>
  <si>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</si>
  <si>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</si>
  <si>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</si>
  <si>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</si>
  <si>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</si>
  <si>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</si>
  <si>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</si>
  <si>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</si>
  <si>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</si>
  <si>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</si>
  <si>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</si>
  <si>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</si>
  <si>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</si>
  <si>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</si>
  <si>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</si>
  <si>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</si>
  <si>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</si>
  <si>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</si>
  <si>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</si>
  <si>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</si>
  <si>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</si>
  <si>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</si>
  <si>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</si>
  <si>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</si>
  <si>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</si>
  <si>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</si>
  <si>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</si>
  <si>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</si>
  <si>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</si>
  <si>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</si>
  <si>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</si>
  <si>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</si>
  <si>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</si>
  <si>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</si>
  <si>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</si>
  <si>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</si>
  <si>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</si>
  <si>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</si>
  <si>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</si>
  <si>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</si>
  <si>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</si>
  <si>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</si>
  <si>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</si>
  <si>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</si>
  <si>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</si>
  <si>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</si>
  <si>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</si>
  <si>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</si>
  <si>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</si>
  <si>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</si>
  <si>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</si>
  <si>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</si>
  <si>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</si>
  <si>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</si>
  <si>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</si>
  <si>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</si>
  <si>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</si>
  <si>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</si>
  <si>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</si>
  <si>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</si>
  <si>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</si>
  <si>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</si>
  <si>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</si>
  <si>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</si>
  <si>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</si>
  <si>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</si>
  <si>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</si>
  <si>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</si>
  <si>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</si>
  <si>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</si>
  <si>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</si>
  <si>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</si>
  <si>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</si>
  <si>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</si>
  <si>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</si>
  <si>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</si>
  <si>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</si>
  <si>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</si>
  <si>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</si>
  <si>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</si>
  <si>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</si>
  <si>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</si>
  <si>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</si>
  <si>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</si>
  <si>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</si>
  <si>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</si>
  <si>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</si>
  <si>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</si>
  <si>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</si>
  <si>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</si>
  <si>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</si>
  <si>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</si>
  <si>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</si>
  <si>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</si>
  <si>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</si>
  <si>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</si>
  <si>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</si>
  <si>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</si>
  <si>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</si>
  <si>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</si>
  <si>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</si>
  <si>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</si>
  <si>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</si>
  <si>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</si>
  <si>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</si>
  <si>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</si>
  <si>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</si>
  <si>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</si>
  <si>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</si>
  <si>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</si>
  <si>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</si>
  <si>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</si>
  <si>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</si>
  <si>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</si>
  <si>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</si>
  <si>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</si>
  <si>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</si>
  <si>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</si>
  <si>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</si>
  <si>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</si>
  <si>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</si>
  <si>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</si>
  <si>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</si>
  <si>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</si>
  <si>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</si>
  <si>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</si>
  <si>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</si>
  <si>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</si>
  <si>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</si>
  <si>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</si>
  <si>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</si>
  <si>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</si>
  <si>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</si>
  <si>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</si>
  <si>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</si>
  <si>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</si>
  <si>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</si>
  <si>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</si>
  <si>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</si>
  <si>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</si>
  <si>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</si>
  <si>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</si>
  <si>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</si>
  <si>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</si>
  <si>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</si>
  <si>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</si>
  <si>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</si>
  <si>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</si>
  <si>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</si>
  <si>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</si>
  <si>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</si>
  <si>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</si>
  <si>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</si>
  <si>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</si>
  <si>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</si>
  <si>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</si>
  <si>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</si>
  <si>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</si>
  <si>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</si>
  <si>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</si>
  <si>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</si>
  <si>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</si>
  <si>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</si>
  <si>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</si>
  <si>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</si>
  <si>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</si>
  <si>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</si>
  <si>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</si>
  <si>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</si>
  <si>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</si>
  <si>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</si>
  <si>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</si>
  <si>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</si>
  <si>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</si>
  <si>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</si>
  <si>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</si>
  <si>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</si>
  <si>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</si>
  <si>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</si>
  <si>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</si>
  <si>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</si>
  <si>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</si>
  <si>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</si>
  <si>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</si>
  <si>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</si>
  <si>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</si>
  <si>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</si>
  <si>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</si>
  <si>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</si>
  <si>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</si>
  <si>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</si>
  <si>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</si>
  <si>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</si>
  <si>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</si>
  <si>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</si>
  <si>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</si>
  <si>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</si>
  <si>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</si>
  <si>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</si>
  <si>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</si>
  <si>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</si>
  <si>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</si>
  <si>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</si>
  <si>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</si>
  <si>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</si>
  <si>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</si>
  <si>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</si>
  <si>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</si>
  <si>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</si>
  <si>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</si>
  <si>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</si>
  <si>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</si>
  <si>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</si>
  <si>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</si>
  <si>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</si>
  <si>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</si>
  <si>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</si>
  <si>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</si>
  <si>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</si>
  <si>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</si>
  <si>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</si>
  <si>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</si>
  <si>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</si>
  <si>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</si>
  <si>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</si>
  <si>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</si>
  <si>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</si>
  <si>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</si>
  <si>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</si>
  <si>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</si>
  <si>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</si>
  <si>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</si>
  <si>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</si>
  <si>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</si>
  <si>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</si>
  <si>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</si>
  <si>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</si>
  <si>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</si>
  <si>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</si>
  <si>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</si>
  <si>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</si>
  <si>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</si>
  <si>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</si>
  <si>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</si>
  <si>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</si>
  <si>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</si>
  <si>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</si>
  <si>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</si>
  <si>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</si>
  <si>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</si>
  <si>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</si>
  <si>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</si>
  <si>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</si>
  <si>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</si>
  <si>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</si>
  <si>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</si>
  <si>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</si>
  <si>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</si>
  <si>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</si>
  <si>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</si>
  <si>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</si>
  <si>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</si>
  <si>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</si>
  <si>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</si>
  <si>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</si>
  <si>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</si>
  <si>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</si>
  <si>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</si>
  <si>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</si>
  <si>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</si>
  <si>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</si>
  <si>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</si>
  <si>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</si>
  <si>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</si>
  <si>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</si>
  <si>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</si>
  <si>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</si>
  <si>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</si>
  <si>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</si>
  <si>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</si>
  <si>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</si>
  <si>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</si>
  <si>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</si>
  <si>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</si>
  <si>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</si>
  <si>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</si>
  <si>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</si>
  <si>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</si>
  <si>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</si>
  <si>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</si>
  <si>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</si>
  <si>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</si>
  <si>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</si>
  <si>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</si>
  <si>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</si>
  <si>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</si>
  <si>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</si>
  <si>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</si>
  <si>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</si>
  <si>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</si>
  <si>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</si>
  <si>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</si>
  <si>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</si>
  <si>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</si>
  <si>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</si>
  <si>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</si>
  <si>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</si>
  <si>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</si>
  <si>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</si>
  <si>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</si>
  <si>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</si>
  <si>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</si>
  <si>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</si>
  <si>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</si>
  <si>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</si>
  <si>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</si>
  <si>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</si>
  <si>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</si>
  <si>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</si>
  <si>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</si>
  <si>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</si>
  <si>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</si>
  <si>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</si>
  <si>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</si>
  <si>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</si>
  <si>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</si>
  <si>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</si>
  <si>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</si>
  <si>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</si>
  <si>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</si>
  <si>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</si>
  <si>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</si>
  <si>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</si>
  <si>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</si>
  <si>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</si>
  <si>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</si>
  <si>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</si>
  <si>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</si>
  <si>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</si>
  <si>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</si>
  <si>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</si>
  <si>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</si>
  <si>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</si>
  <si>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</si>
  <si>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</si>
  <si>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</si>
  <si>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</si>
  <si>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</si>
  <si>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</si>
  <si>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</si>
  <si>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</si>
  <si>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</si>
  <si>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</si>
  <si>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</si>
  <si>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</si>
  <si>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</si>
  <si>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</si>
  <si>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</si>
  <si>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</si>
  <si>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</si>
  <si>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</si>
  <si>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</si>
  <si>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</si>
  <si>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</si>
  <si>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</si>
  <si>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</si>
  <si>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</si>
  <si>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</si>
  <si>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</si>
  <si>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</si>
  <si>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</si>
  <si>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</si>
  <si>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</si>
  <si>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</si>
  <si>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</si>
  <si>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</si>
  <si>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</si>
  <si>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</si>
  <si>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</si>
  <si>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</si>
  <si>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</si>
  <si>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</si>
  <si>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</si>
  <si>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</si>
  <si>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</si>
  <si>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</si>
  <si>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</si>
  <si>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</si>
  <si>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</si>
  <si>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</si>
  <si>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</si>
  <si>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</si>
  <si>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</si>
  <si>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</si>
  <si>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</si>
  <si>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</si>
  <si>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</si>
  <si>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</si>
  <si>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</si>
  <si>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</si>
  <si>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</si>
  <si>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</si>
  <si>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</si>
  <si>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</si>
  <si>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</si>
  <si>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</si>
  <si>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</si>
  <si>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</si>
  <si>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</si>
  <si>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</si>
  <si>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</si>
  <si>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</si>
  <si>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</si>
  <si>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</si>
  <si>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</si>
  <si>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</si>
  <si>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</si>
  <si>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</si>
  <si>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</si>
  <si>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</si>
  <si>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</si>
  <si>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</si>
  <si>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</si>
  <si>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</si>
  <si>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</si>
  <si>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</si>
  <si>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</si>
  <si>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</si>
  <si>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</si>
  <si>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</si>
  <si>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</si>
  <si>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</si>
  <si>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</si>
  <si>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</si>
  <si>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</si>
  <si>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</si>
  <si>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</si>
  <si>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</si>
  <si>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</si>
  <si>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</si>
  <si>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</si>
  <si>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</si>
  <si>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</si>
  <si>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</si>
  <si>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</si>
  <si>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</si>
  <si>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</si>
  <si>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</si>
  <si>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</si>
  <si>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</si>
  <si>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</si>
  <si>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</si>
  <si>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</si>
  <si>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</si>
  <si>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</si>
  <si>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</si>
  <si>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</si>
  <si>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</si>
  <si>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</si>
  <si>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</si>
  <si>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</si>
  <si>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</si>
  <si>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</si>
  <si>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</si>
  <si>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</si>
  <si>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</si>
  <si>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</si>
  <si>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</si>
  <si>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</si>
  <si>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</si>
  <si>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</si>
  <si>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</si>
  <si>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</si>
  <si>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</si>
  <si>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</si>
  <si>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</si>
  <si>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</si>
  <si>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</si>
  <si>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</si>
  <si>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</si>
  <si>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</si>
  <si>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</si>
  <si>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</si>
  <si>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</si>
  <si>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</si>
  <si>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</si>
  <si>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</si>
  <si>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</si>
  <si>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</si>
  <si>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</si>
  <si>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</si>
  <si>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</si>
  <si>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</si>
  <si>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</si>
  <si>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</si>
  <si>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</si>
  <si>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</si>
  <si>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</si>
  <si>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</si>
  <si>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</si>
  <si>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</si>
  <si>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</si>
  <si>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</si>
  <si>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</si>
  <si>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</si>
  <si>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</si>
  <si>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</si>
  <si>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</si>
  <si>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</si>
  <si>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</si>
  <si>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</si>
  <si>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</si>
  <si>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</si>
  <si>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</si>
  <si>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</si>
  <si>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</si>
  <si>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</si>
  <si>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</si>
  <si>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</si>
  <si>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</si>
  <si>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</si>
  <si>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</si>
  <si>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</si>
  <si>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</si>
  <si>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</si>
  <si>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</si>
  <si>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</si>
  <si>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</si>
  <si>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</si>
  <si>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</si>
  <si>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</si>
  <si>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</si>
  <si>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</si>
  <si>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</si>
  <si>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</si>
  <si>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</si>
  <si>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</si>
  <si>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</si>
  <si>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</si>
  <si>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</si>
  <si>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</si>
  <si>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</si>
  <si>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</si>
  <si>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</si>
  <si>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</si>
  <si>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</si>
  <si>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</si>
  <si>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</si>
  <si>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</si>
  <si>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</si>
  <si>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</si>
  <si>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</si>
  <si>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</si>
  <si>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</si>
  <si>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</si>
  <si>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</si>
  <si>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</si>
  <si>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</si>
  <si>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</si>
  <si>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</si>
  <si>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</si>
  <si>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</si>
  <si>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</si>
  <si>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</si>
  <si>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</si>
  <si>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</si>
  <si>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</si>
  <si>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</si>
  <si>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</si>
  <si>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</si>
  <si>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</si>
  <si>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</si>
  <si>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</si>
  <si>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</si>
  <si>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</si>
  <si>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</si>
  <si>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</si>
  <si>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</si>
  <si>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</si>
  <si>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</si>
  <si>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</si>
  <si>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</si>
  <si>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</si>
  <si>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</si>
  <si>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</si>
  <si>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</si>
  <si>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</si>
  <si>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</si>
  <si>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</si>
  <si>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</si>
  <si>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</si>
  <si>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</si>
  <si>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</si>
  <si>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</si>
  <si>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</si>
  <si>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</si>
  <si>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</si>
  <si>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</si>
  <si>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</si>
  <si>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</si>
  <si>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</si>
  <si>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</si>
  <si>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</si>
  <si>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</si>
  <si>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</si>
  <si>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</si>
  <si>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</si>
  <si>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</si>
  <si>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</si>
  <si>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</si>
  <si>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</si>
  <si>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</si>
  <si>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</si>
  <si>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</si>
  <si>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</si>
  <si>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</si>
  <si>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</si>
  <si>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</si>
  <si>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</si>
  <si>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</si>
  <si>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</si>
  <si>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</si>
  <si>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</si>
  <si>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</si>
  <si>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</si>
  <si>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</si>
  <si>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</si>
  <si>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</si>
  <si>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</si>
  <si>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</si>
  <si>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</si>
  <si>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</si>
  <si>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</si>
  <si>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</si>
  <si>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</si>
  <si>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</si>
  <si>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</si>
  <si>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</si>
  <si>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</si>
  <si>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</si>
  <si>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</si>
  <si>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</si>
  <si>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</si>
  <si>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</si>
  <si>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</si>
  <si>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</si>
  <si>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</si>
  <si>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</si>
  <si>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</si>
  <si>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</si>
  <si>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</si>
  <si>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</si>
  <si>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</si>
  <si>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</si>
  <si>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</si>
  <si>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</si>
  <si>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</si>
  <si>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</si>
  <si>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</si>
  <si>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</si>
  <si>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</si>
  <si>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</si>
  <si>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</si>
  <si>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</si>
  <si>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</si>
  <si>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</si>
  <si>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</si>
  <si>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</si>
  <si>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</si>
  <si>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</si>
  <si>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</si>
  <si>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</si>
  <si>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</si>
  <si>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</si>
  <si>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</si>
  <si>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</si>
  <si>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</si>
  <si>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</si>
  <si>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</si>
  <si>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</si>
  <si>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</si>
  <si>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</si>
  <si>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</si>
  <si>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</si>
  <si>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</si>
  <si>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</si>
  <si>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</si>
  <si>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</si>
  <si>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</si>
  <si>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</si>
  <si>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</si>
  <si>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</si>
  <si>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</si>
  <si>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</si>
  <si>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</si>
  <si>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</si>
  <si>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</si>
  <si>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</si>
  <si>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</si>
  <si>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</si>
  <si>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</si>
  <si>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</si>
  <si>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</si>
  <si>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</si>
  <si>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</si>
  <si>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</si>
  <si>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</si>
  <si>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</si>
  <si>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</si>
  <si>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</si>
  <si>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</si>
  <si>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</si>
  <si>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</si>
  <si>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</si>
  <si>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</si>
  <si>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</si>
  <si>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</si>
  <si>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</si>
  <si>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</si>
  <si>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</si>
  <si>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</si>
  <si>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</si>
  <si>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</si>
  <si>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</si>
  <si>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</si>
  <si>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</si>
  <si>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</si>
  <si>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</si>
  <si>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</si>
  <si>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</si>
  <si>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</si>
  <si>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</si>
  <si>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</si>
  <si>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</si>
  <si>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</si>
  <si>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</si>
  <si>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</si>
  <si>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</si>
  <si>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</si>
  <si>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</si>
  <si>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</si>
  <si>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</si>
  <si>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</si>
  <si>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</si>
  <si>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</si>
  <si>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</si>
  <si>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</si>
  <si>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</si>
  <si>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</si>
  <si>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</si>
  <si>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</si>
  <si>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</si>
  <si>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</si>
  <si>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</si>
  <si>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</si>
  <si>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</si>
  <si>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</si>
  <si>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</si>
  <si>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</si>
  <si>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</si>
  <si>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</si>
  <si>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</si>
  <si>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</si>
  <si>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</si>
  <si>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</si>
  <si>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</si>
  <si>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</si>
  <si>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</si>
  <si>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</si>
  <si>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</si>
  <si>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</si>
  <si>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</si>
  <si>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</si>
  <si>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</si>
  <si>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</si>
  <si>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</si>
  <si>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</si>
  <si>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</si>
  <si>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</si>
  <si>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</si>
  <si>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</si>
  <si>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</si>
  <si>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</si>
  <si>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</si>
  <si>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</si>
  <si>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</si>
  <si>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</si>
  <si>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</si>
  <si>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</si>
  <si>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</si>
  <si>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</si>
  <si>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</si>
  <si>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</si>
  <si>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</si>
  <si>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</si>
  <si>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</si>
  <si>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</si>
  <si>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</si>
  <si>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</si>
  <si>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</si>
  <si>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</si>
  <si>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</si>
  <si>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</si>
  <si>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</si>
  <si>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</si>
  <si>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</si>
  <si>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</si>
  <si>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</si>
  <si>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</si>
  <si>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</si>
  <si>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</si>
  <si>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</si>
  <si>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</si>
  <si>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</si>
  <si>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</si>
  <si>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</si>
  <si>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</si>
  <si>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CASALUNA</t>
  </si>
  <si>
    <t xml:space="preserve">Gavignano</t>
  </si>
  <si>
    <t xml:space="preserve">06213400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</si>
  <si>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</si>
  <si>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</si>
  <si>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</si>
  <si>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</si>
  <si>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</si>
  <si>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</si>
  <si>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</si>
  <si>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</si>
  <si>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</si>
  <si>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</si>
  <si>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</si>
  <si>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</si>
  <si>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</si>
  <si>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</si>
  <si>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</si>
  <si>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</si>
  <si>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</si>
  <si>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</si>
  <si>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</si>
  <si>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</si>
  <si>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</si>
  <si>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</si>
  <si>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</si>
  <si>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</si>
  <si>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</si>
  <si>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</si>
  <si>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</si>
  <si>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</si>
  <si>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</si>
  <si>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</si>
  <si>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</si>
  <si>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</si>
  <si>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</si>
  <si>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</si>
  <si>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</si>
  <si>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</si>
  <si>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</si>
  <si>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</si>
  <si>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</si>
  <si>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</si>
  <si>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</si>
  <si>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</si>
  <si>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</si>
  <si>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</si>
  <si>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</si>
  <si>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</si>
  <si>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</si>
  <si>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</si>
  <si>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</si>
  <si>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(0,881 %)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</si>
  <si>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</si>
  <si>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</si>
  <si>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</si>
  <si>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</si>
  <si>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</si>
  <si>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</si>
  <si>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</si>
  <si>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</si>
  <si>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</si>
  <si>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</si>
  <si>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</si>
  <si>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</si>
  <si>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</si>
  <si>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</si>
  <si>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</si>
  <si>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</si>
  <si>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</si>
  <si>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</si>
  <si>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</si>
  <si>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Fragilaria sp.</t>
  </si>
  <si>
    <t xml:space="preserve">Potentilla reptans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</si>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</sst>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41072</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10.3846153846154</v>
      </c>
      <c r="M5" s="293"/>
      <c r="N5" s="294"/>
      <c r="O5" s="295" t="n">
        <v>9.54545454545455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83</v>
      </c>
      <c r="C7" s="307" t="n">
        <v>17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8.2</v>
      </c>
      <c r="O8" s="323" t="n">
        <f aca="false">AVERAGE(J23:J82)</f>
        <v>1.1</v>
      </c>
      <c r="P8" s="324"/>
      <c r="Q8" s="250"/>
      <c r="R8" s="250"/>
      <c r="S8" s="250"/>
      <c r="T8" s="250"/>
      <c r="U8" s="250"/>
      <c r="V8" s="250"/>
      <c r="W8" s="262"/>
      <c r="X8" s="263"/>
    </row>
    <row r="9" customFormat="false" ht="13.5" hidden="false" customHeight="false" outlineLevel="0" collapsed="false">
      <c r="A9" s="283" t="s">
        <v>2636</v>
      </c>
      <c r="B9" s="325" t="n">
        <v>0.85</v>
      </c>
      <c r="C9" s="326" t="n">
        <v>1.1</v>
      </c>
      <c r="D9" s="327"/>
      <c r="E9" s="327"/>
      <c r="F9" s="328" t="n">
        <f aca="false">($B9*$B$7+$C9*$C$7)/100</f>
        <v>0.8925</v>
      </c>
      <c r="G9" s="329"/>
      <c r="H9" s="330"/>
      <c r="I9" s="331"/>
      <c r="J9" s="332"/>
      <c r="K9" s="313"/>
      <c r="L9" s="333"/>
      <c r="M9" s="322" t="s">
        <v>2637</v>
      </c>
      <c r="N9" s="323" t="n">
        <f aca="false">STDEV(I23:I82)</f>
        <v>5.47316686713968</v>
      </c>
      <c r="O9" s="323" t="n">
        <f aca="false">STDEV(J23:J82)</f>
        <v>0.875595035770913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1</v>
      </c>
      <c r="L13" s="355"/>
      <c r="M13" s="366" t="s">
        <v>2648</v>
      </c>
      <c r="N13" s="367" t="n">
        <f aca="false">COUNTIF(F23:F82,"&gt;0")</f>
        <v>12</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1</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0.83</v>
      </c>
      <c r="C20" s="405" t="n">
        <f aca="false">SUM(C23:C82)</f>
        <v>1.13</v>
      </c>
      <c r="D20" s="406"/>
      <c r="E20" s="407" t="s">
        <v>2660</v>
      </c>
      <c r="F20" s="408" t="n">
        <f aca="false">($B20*$B$7+$C20*$C$7)/100</f>
        <v>0.881</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0.6889</v>
      </c>
      <c r="C21" s="418" t="n">
        <f aca="false">C20*C7/100</f>
        <v>0.1921</v>
      </c>
      <c r="D21" s="350" t="str">
        <f aca="false">IF(F21=0,"",IF((ABS(F21-F19))&gt;(0.2*F21),CONCATENATE(" rec. par taxa (",F21," %) supérieur à 20 % !"),""))</f>
        <v> rec. par taxa (0,881 %) supérieur à 20 % !</v>
      </c>
      <c r="E21" s="419" t="str">
        <f aca="false">IF(F21=0,"",IF((ABS(F21-F19))&gt;(0.2*F21),CONCATENATE("ATTENTION : écart entre rec. par grp (",F19," %) ","et",""),""))</f>
        <v>ATTENTION : écart entre rec. par grp (0 %) et</v>
      </c>
      <c r="F21" s="420" t="n">
        <f aca="false">B21+C21</f>
        <v>0.881</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0.15</v>
      </c>
      <c r="C23" s="445" t="n">
        <v>0.05</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0.133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0.133</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X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1263</v>
      </c>
      <c r="B24" s="463" t="n">
        <v>0.1</v>
      </c>
      <c r="C24" s="464"/>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0.083</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0.083</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1594</v>
      </c>
      <c r="B25" s="463" t="n">
        <v>0.005</v>
      </c>
      <c r="C25" s="464"/>
      <c r="D25" s="465" t="str">
        <f aca="false">IF(ISERROR(VLOOKUP($A25,'liste reference'!$A$7:$D$892,2,0)),IF(ISERROR(VLOOKUP($A25,'liste reference'!$B$7:$D$892,1,0)),"",VLOOKUP($A25,'liste reference'!$B$7:$D$892,1,0)),VLOOKUP($A25,'liste reference'!$A$7:$D$892,2,0))</f>
        <v>Nostoc sp.</v>
      </c>
      <c r="E25" s="465" t="e">
        <f aca="false">IF(D25="",0,VLOOKUP(D25,D$22:D24,1,0))</f>
        <v>#N/A</v>
      </c>
      <c r="F25" s="466" t="n">
        <f aca="false">($B25*$B$7+$C25*$C$7)/100</f>
        <v>0.00415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9</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Nostoc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v>
      </c>
      <c r="Q25" s="455" t="n">
        <f aca="false">IF(ISTEXT(H25),"",(B25*$B$7/100)+(C25*$C$7/100))</f>
        <v>0.00415</v>
      </c>
      <c r="R25" s="456" t="n">
        <f aca="false">IF(OR(ISTEXT(H25),Q25=0),"",IF(Q25&lt;0.1,1,IF(Q25&lt;1,2,IF(Q25&lt;10,3,IF(Q25&lt;50,4,IF(Q25&gt;=50,5,""))))))</f>
        <v>1</v>
      </c>
      <c r="S25" s="456" t="n">
        <f aca="false">IF(ISERROR(R25*I25),0,R25*I25)</f>
        <v>9</v>
      </c>
      <c r="T25" s="456" t="n">
        <f aca="false">IF(ISERROR(R25*I25*J25),0,R25*I25*J25)</f>
        <v>9</v>
      </c>
      <c r="U25" s="470" t="n">
        <f aca="false">IF(ISERROR(R25*J25),0,R25*J25)</f>
        <v>1</v>
      </c>
      <c r="V25" s="457" t="n">
        <v>1</v>
      </c>
      <c r="W25" s="458"/>
      <c r="Y25" s="459" t="str">
        <f aca="false">IF(A25="new.cod","NEWCOD",IF(AND((Z25=""),ISTEXT(A25)),A25,IF(Z25="","",INDEX('liste reference'!$A$7:$A$892,Z25))))</f>
        <v>NOSSPX</v>
      </c>
      <c r="Z25" s="250" t="n">
        <f aca="false">IF(ISERROR(MATCH(A25,'liste reference'!$A$7:$A$892,0)),IF(ISERROR(MATCH(A25,'liste reference'!$B$7:$B$892,0)),"",(MATCH(A25,'liste reference'!$B$7:$B$892,0))),(MATCH(A25,'liste reference'!$A$7:$A$892,0)))</f>
        <v>526</v>
      </c>
      <c r="AA25" s="460"/>
      <c r="AB25" s="461"/>
      <c r="AC25" s="461"/>
      <c r="BC25" s="250" t="n">
        <f aca="false">IF(A25="","",1)</f>
        <v>1</v>
      </c>
    </row>
    <row r="26" customFormat="false" ht="12.75" hidden="false" customHeight="false" outlineLevel="0" collapsed="false">
      <c r="A26" s="462" t="s">
        <v>2304</v>
      </c>
      <c r="B26" s="463" t="n">
        <v>0.02</v>
      </c>
      <c r="C26" s="464"/>
      <c r="D26" s="465" t="str">
        <f aca="false">IF(ISERROR(VLOOKUP($A26,'liste reference'!$A$7:$D$892,2,0)),IF(ISERROR(VLOOKUP($A26,'liste reference'!$B$7:$D$892,1,0)),"",VLOOKUP($A26,'liste reference'!$B$7:$D$892,1,0)),VLOOKUP($A26,'liste reference'!$A$7:$D$892,2,0))</f>
        <v>Schizothrix sp.</v>
      </c>
      <c r="E26" s="465" t="e">
        <f aca="false">IF(D26="",0,VLOOKUP(D26,D$22:D25,1,0))</f>
        <v>#N/A</v>
      </c>
      <c r="F26" s="466" t="n">
        <f aca="false">($B26*$B$7+$C26*$C$7)/100</f>
        <v>0.0166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0</v>
      </c>
      <c r="J26" s="451" t="n">
        <f aca="false">IF(ISNUMBER(H26),IF(ISERROR(VLOOKUP($A26,'liste reference'!$A$7:$P$892,4,0)),IF(ISERROR(VLOOKUP($A26,'liste reference'!$B$7:$P$892,3,0)),"",VLOOKUP($A26,'liste reference'!$B$7:$P$892,3,0)),VLOOKUP($A26,'liste reference'!$A$7:$P$892,4,0)),"")</f>
        <v>0</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Schizothrix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6436</v>
      </c>
      <c r="Q26" s="455" t="n">
        <f aca="false">IF(ISTEXT(H26),"",(B26*$B$7/100)+(C26*$C$7/100))</f>
        <v>0.0166</v>
      </c>
      <c r="R26" s="456" t="n">
        <f aca="false">IF(OR(ISTEXT(H26),Q26=0),"",IF(Q26&lt;0.1,1,IF(Q26&lt;1,2,IF(Q26&lt;10,3,IF(Q26&lt;50,4,IF(Q26&gt;=50,5,""))))))</f>
        <v>1</v>
      </c>
      <c r="S26" s="456" t="n">
        <f aca="false">IF(ISERROR(R26*I26),0,R26*I26)</f>
        <v>0</v>
      </c>
      <c r="T26" s="456" t="n">
        <f aca="false">IF(ISERROR(R26*I26*J26),0,R26*I26*J26)</f>
        <v>0</v>
      </c>
      <c r="U26" s="470" t="n">
        <f aca="false">IF(ISERROR(R26*J26),0,R26*J26)</f>
        <v>0</v>
      </c>
      <c r="V26" s="457" t="n">
        <v>0</v>
      </c>
      <c r="W26" s="471"/>
      <c r="Y26" s="459" t="str">
        <f aca="false">IF(A26="new.cod","NEWCOD",IF(AND((Z26=""),ISTEXT(A26)),A26,IF(Z26="","",INDEX('liste reference'!$A$7:$A$892,Z26))))</f>
        <v>SCZSPX</v>
      </c>
      <c r="Z26" s="250" t="n">
        <f aca="false">IF(ISERROR(MATCH(A26,'liste reference'!$A$7:$A$892,0)),IF(ISERROR(MATCH(A26,'liste reference'!$B$7:$B$892,0)),"",(MATCH(A26,'liste reference'!$B$7:$B$892,0))),(MATCH(A26,'liste reference'!$A$7:$A$892,0)))</f>
        <v>780</v>
      </c>
      <c r="AA26" s="460"/>
      <c r="AB26" s="461"/>
      <c r="AC26" s="461"/>
      <c r="BC26" s="250" t="n">
        <f aca="false">IF(A26="","",1)</f>
        <v>1</v>
      </c>
    </row>
    <row r="27" customFormat="false" ht="12.75" hidden="false" customHeight="false" outlineLevel="0" collapsed="false">
      <c r="A27" s="462" t="s">
        <v>2401</v>
      </c>
      <c r="B27" s="463" t="n">
        <v>0.005</v>
      </c>
      <c r="C27" s="464"/>
      <c r="D27" s="465" t="str">
        <f aca="false">IF(ISERROR(VLOOKUP($A27,'liste reference'!$A$7:$D$892,2,0)),IF(ISERROR(VLOOKUP($A27,'liste reference'!$B$7:$D$892,1,0)),"",VLOOKUP($A27,'liste reference'!$B$7:$D$892,1,0)),VLOOKUP($A27,'liste reference'!$A$7:$D$892,2,0))</f>
        <v>Spirogyra sp.</v>
      </c>
      <c r="E27" s="465" t="e">
        <f aca="false">IF(D27="",0,VLOOKUP(D27,D$22:D26,1,0))</f>
        <v>#N/A</v>
      </c>
      <c r="F27" s="466" t="n">
        <f aca="false">($B27*$B$7+$C27*$C$7)/100</f>
        <v>0.00415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10</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Spirogyra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1147</v>
      </c>
      <c r="Q27" s="455" t="n">
        <f aca="false">IF(ISTEXT(H27),"",(B27*$B$7/100)+(C27*$C$7/100))</f>
        <v>0.00415</v>
      </c>
      <c r="R27" s="456" t="n">
        <f aca="false">IF(OR(ISTEXT(H27),Q27=0),"",IF(Q27&lt;0.1,1,IF(Q27&lt;1,2,IF(Q27&lt;10,3,IF(Q27&lt;50,4,IF(Q27&gt;=50,5,""))))))</f>
        <v>1</v>
      </c>
      <c r="S27" s="456" t="n">
        <f aca="false">IF(ISERROR(R27*I27),0,R27*I27)</f>
        <v>10</v>
      </c>
      <c r="T27" s="456" t="n">
        <f aca="false">IF(ISERROR(R27*I27*J27),0,R27*I27*J27)</f>
        <v>10</v>
      </c>
      <c r="U27" s="470" t="n">
        <f aca="false">IF(ISERROR(R27*J27),0,R27*J27)</f>
        <v>1</v>
      </c>
      <c r="V27" s="457" t="n">
        <v>1</v>
      </c>
      <c r="W27" s="458"/>
      <c r="Y27" s="459" t="str">
        <f aca="false">IF(A27="new.cod","NEWCOD",IF(AND((Z27=""),ISTEXT(A27)),A27,IF(Z27="","",INDEX('liste reference'!$A$7:$A$892,Z27))))</f>
        <v>SPISPX</v>
      </c>
      <c r="Z27" s="250" t="n">
        <f aca="false">IF(ISERROR(MATCH(A27,'liste reference'!$A$7:$A$892,0)),IF(ISERROR(MATCH(A27,'liste reference'!$B$7:$B$892,0)),"",(MATCH(A27,'liste reference'!$B$7:$B$892,0))),(MATCH(A27,'liste reference'!$A$7:$A$892,0)))</f>
        <v>815</v>
      </c>
      <c r="AA27" s="460"/>
      <c r="AB27" s="461"/>
      <c r="AC27" s="461"/>
      <c r="BC27" s="250" t="n">
        <f aca="false">IF(A27="","",1)</f>
        <v>1</v>
      </c>
    </row>
    <row r="28" customFormat="false" ht="12.75" hidden="false" customHeight="false" outlineLevel="0" collapsed="false">
      <c r="A28" s="462" t="s">
        <v>2432</v>
      </c>
      <c r="B28" s="463" t="n">
        <v>0.005</v>
      </c>
      <c r="C28" s="464"/>
      <c r="D28" s="465" t="str">
        <f aca="false">IF(ISERROR(VLOOKUP($A28,'liste reference'!$A$7:$D$892,2,0)),IF(ISERROR(VLOOKUP($A28,'liste reference'!$B$7:$D$892,1,0)),"",VLOOKUP($A28,'liste reference'!$B$7:$D$892,1,0)),VLOOKUP($A28,'liste reference'!$A$7:$D$892,2,0))</f>
        <v>Tetraspora sp.</v>
      </c>
      <c r="E28" s="465" t="e">
        <f aca="false">IF(D28="",0,VLOOKUP(D28,D$22:D27,1,0))</f>
        <v>#N/A</v>
      </c>
      <c r="F28" s="466" t="n">
        <f aca="false">($B28*$B$7+$C28*$C$7)/100</f>
        <v>0.00415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12</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Tetraspora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1138</v>
      </c>
      <c r="Q28" s="455" t="n">
        <f aca="false">IF(ISTEXT(H28),"",(B28*$B$7/100)+(C28*$C$7/100))</f>
        <v>0.00415</v>
      </c>
      <c r="R28" s="456" t="n">
        <f aca="false">IF(OR(ISTEXT(H28),Q28=0),"",IF(Q28&lt;0.1,1,IF(Q28&lt;1,2,IF(Q28&lt;10,3,IF(Q28&lt;50,4,IF(Q28&gt;=50,5,""))))))</f>
        <v>1</v>
      </c>
      <c r="S28" s="456" t="n">
        <f aca="false">IF(ISERROR(R28*I28),0,R28*I28)</f>
        <v>12</v>
      </c>
      <c r="T28" s="456" t="n">
        <f aca="false">IF(ISERROR(R28*I28*J28),0,R28*I28*J28)</f>
        <v>12</v>
      </c>
      <c r="U28" s="470" t="n">
        <f aca="false">IF(ISERROR(R28*J28),0,R28*J28)</f>
        <v>1</v>
      </c>
      <c r="V28" s="457" t="n">
        <v>1</v>
      </c>
      <c r="W28" s="458"/>
      <c r="Y28" s="459" t="str">
        <f aca="false">IF(A28="new.cod","NEWCOD",IF(AND((Z28=""),ISTEXT(A28)),A28,IF(Z28="","",INDEX('liste reference'!$A$7:$A$892,Z28))))</f>
        <v>TETSPX</v>
      </c>
      <c r="Z28" s="250" t="n">
        <f aca="false">IF(ISERROR(MATCH(A28,'liste reference'!$A$7:$A$892,0)),IF(ISERROR(MATCH(A28,'liste reference'!$B$7:$B$892,0)),"",(MATCH(A28,'liste reference'!$B$7:$B$892,0))),(MATCH(A28,'liste reference'!$A$7:$A$892,0)))</f>
        <v>828</v>
      </c>
      <c r="AA28" s="460"/>
      <c r="AB28" s="461"/>
      <c r="AC28" s="461"/>
      <c r="BC28" s="250" t="n">
        <f aca="false">IF(A28="","",1)</f>
        <v>1</v>
      </c>
    </row>
    <row r="29" customFormat="false" ht="12.75" hidden="false" customHeight="false" outlineLevel="0" collapsed="false">
      <c r="A29" s="462" t="s">
        <v>2528</v>
      </c>
      <c r="B29" s="463" t="n">
        <v>0.005</v>
      </c>
      <c r="C29" s="464" t="n">
        <v>1</v>
      </c>
      <c r="D29" s="465" t="str">
        <f aca="false">IF(ISERROR(VLOOKUP($A29,'liste reference'!$A$7:$D$892,2,0)),IF(ISERROR(VLOOKUP($A29,'liste reference'!$B$7:$D$892,1,0)),"",VLOOKUP($A29,'liste reference'!$B$7:$D$892,1,0)),VLOOKUP($A29,'liste reference'!$A$7:$D$892,2,0))</f>
        <v>Vaucheria sp.</v>
      </c>
      <c r="E29" s="465" t="e">
        <f aca="false">IF(D29="",0,VLOOKUP(D29,D$22:D28,1,0))</f>
        <v>#N/A</v>
      </c>
      <c r="F29" s="466" t="n">
        <f aca="false">($B29*$B$7+$C29*$C$7)/100</f>
        <v>0.17415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4</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Vaucheria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6193</v>
      </c>
      <c r="Q29" s="455" t="n">
        <f aca="false">IF(ISTEXT(H29),"",(B29*$B$7/100)+(C29*$C$7/100))</f>
        <v>0.17415</v>
      </c>
      <c r="R29" s="456" t="n">
        <f aca="false">IF(OR(ISTEXT(H29),Q29=0),"",IF(Q29&lt;0.1,1,IF(Q29&lt;1,2,IF(Q29&lt;10,3,IF(Q29&lt;50,4,IF(Q29&gt;=50,5,""))))))</f>
        <v>2</v>
      </c>
      <c r="S29" s="456" t="n">
        <f aca="false">IF(ISERROR(R29*I29),0,R29*I29)</f>
        <v>8</v>
      </c>
      <c r="T29" s="456" t="n">
        <f aca="false">IF(ISERROR(R29*I29*J29),0,R29*I29*J29)</f>
        <v>8</v>
      </c>
      <c r="U29" s="470" t="n">
        <f aca="false">IF(ISERROR(R29*J29),0,R29*J29)</f>
        <v>2</v>
      </c>
      <c r="V29" s="457" t="n">
        <v>2</v>
      </c>
      <c r="W29" s="458"/>
      <c r="Y29" s="459" t="str">
        <f aca="false">IF(A29="new.cod","NEWCOD",IF(AND((Z29=""),ISTEXT(A29)),A29,IF(Z29="","",INDEX('liste reference'!$A$7:$A$892,Z29))))</f>
        <v>VAUSPX</v>
      </c>
      <c r="Z29" s="250" t="n">
        <f aca="false">IF(ISERROR(MATCH(A29,'liste reference'!$A$7:$A$892,0)),IF(ISERROR(MATCH(A29,'liste reference'!$B$7:$B$892,0)),"",(MATCH(A29,'liste reference'!$B$7:$B$892,0))),(MATCH(A29,'liste reference'!$A$7:$A$892,0)))</f>
        <v>864</v>
      </c>
      <c r="AA29" s="460"/>
      <c r="AB29" s="461"/>
      <c r="AC29" s="461"/>
      <c r="BC29" s="250" t="n">
        <f aca="false">IF(A29="","",1)</f>
        <v>1</v>
      </c>
    </row>
    <row r="30" customFormat="false" ht="12.75" hidden="false" customHeight="false" outlineLevel="0" collapsed="false">
      <c r="A30" s="462" t="s">
        <v>967</v>
      </c>
      <c r="B30" s="463" t="n">
        <v>0.01</v>
      </c>
      <c r="C30" s="464" t="n">
        <v>0.02</v>
      </c>
      <c r="D30" s="465" t="str">
        <f aca="false">IF(ISERROR(VLOOKUP($A30,'liste reference'!$A$7:$D$892,2,0)),IF(ISERROR(VLOOKUP($A30,'liste reference'!$B$7:$D$892,1,0)),"",VLOOKUP($A30,'liste reference'!$B$7:$D$892,1,0)),VLOOKUP($A30,'liste reference'!$A$7:$D$892,2,0))</f>
        <v>Fontinalis hypnoides var. duriaei</v>
      </c>
      <c r="E30" s="465" t="e">
        <f aca="false">IF(D30="",0,VLOOKUP(D30,D$22:D29,1,0))</f>
        <v>#N/A</v>
      </c>
      <c r="F30" s="466" t="n">
        <f aca="false">($B30*$B$7+$C30*$C$7)/100</f>
        <v>0.0117</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14</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Fontinalis hypnoides var. duriaei</v>
      </c>
      <c r="L30" s="469"/>
      <c r="M30" s="469"/>
      <c r="N30" s="469"/>
      <c r="O30" s="454" t="str">
        <f aca="false">IF(AA30="Cf.","Cf.","")</f>
        <v>Cf.</v>
      </c>
      <c r="P30" s="454" t="n">
        <f aca="false">IF($A30="NEWCOD",IF($AC30="","No",$AC30),IF(ISTEXT($E30),"DEJA SAISI !",IF($A30="","",IF(ISERROR(VLOOKUP($A30,'liste reference'!A:S,19,FALSE())),IF(ISERROR(VLOOKUP($A30,'liste reference'!B:S,19,FALSE())),"",VLOOKUP($A30,'liste reference'!B:S,19,FALSE())),VLOOKUP($A30,'liste reference'!A:S,19,FALSE())))))</f>
        <v>1215</v>
      </c>
      <c r="Q30" s="455" t="n">
        <f aca="false">IF(ISTEXT(H30),"",(B30*$B$7/100)+(C30*$C$7/100))</f>
        <v>0.0117</v>
      </c>
      <c r="R30" s="456" t="n">
        <f aca="false">IF(OR(ISTEXT(H30),Q30=0),"",IF(Q30&lt;0.1,1,IF(Q30&lt;1,2,IF(Q30&lt;10,3,IF(Q30&lt;50,4,IF(Q30&gt;=50,5,""))))))</f>
        <v>1</v>
      </c>
      <c r="S30" s="456" t="n">
        <f aca="false">IF(ISERROR(R30*I30),0,R30*I30)</f>
        <v>14</v>
      </c>
      <c r="T30" s="456" t="n">
        <f aca="false">IF(ISERROR(R30*I30*J30),0,R30*I30*J30)</f>
        <v>42</v>
      </c>
      <c r="U30" s="470" t="n">
        <f aca="false">IF(ISERROR(R30*J30),0,R30*J30)</f>
        <v>3</v>
      </c>
      <c r="V30" s="457" t="n">
        <v>3</v>
      </c>
      <c r="W30" s="458"/>
      <c r="Y30" s="459" t="str">
        <f aca="false">IF(A30="new.cod","NEWCOD",IF(AND((Z30=""),ISTEXT(A30)),A30,IF(Z30="","",INDEX('liste reference'!$A$7:$A$892,Z30))))</f>
        <v>FONDUR</v>
      </c>
      <c r="Z30" s="250" t="n">
        <f aca="false">IF(ISERROR(MATCH(A30,'liste reference'!$A$7:$A$892,0)),IF(ISERROR(MATCH(A30,'liste reference'!$B$7:$B$892,0)),"",(MATCH(A30,'liste reference'!$B$7:$B$892,0))),(MATCH(A30,'liste reference'!$A$7:$A$892,0)))</f>
        <v>305</v>
      </c>
      <c r="AA30" s="460" t="s">
        <v>2684</v>
      </c>
      <c r="AB30" s="461"/>
      <c r="AC30" s="461"/>
      <c r="BC30" s="250" t="n">
        <f aca="false">IF(A30="","",1)</f>
        <v>1</v>
      </c>
    </row>
    <row r="31" customFormat="false" ht="12.75" hidden="false" customHeight="false" outlineLevel="0" collapsed="false">
      <c r="A31" s="462" t="s">
        <v>839</v>
      </c>
      <c r="B31" s="463" t="n">
        <v>0.005</v>
      </c>
      <c r="C31" s="464" t="n">
        <v>0.005</v>
      </c>
      <c r="D31" s="465" t="str">
        <f aca="false">IF(ISERROR(VLOOKUP($A31,'liste reference'!$A$7:$D$892,2,0)),IF(ISERROR(VLOOKUP($A31,'liste reference'!$B$7:$D$892,1,0)),"",VLOOKUP($A31,'liste reference'!$B$7:$D$892,1,0)),VLOOKUP($A31,'liste reference'!$A$7:$D$892,2,0))</f>
        <v>Equisetum arvense</v>
      </c>
      <c r="E31" s="465" t="e">
        <f aca="false">IF(D31="",0,VLOOKUP(D31,D$22:D30,1,0))</f>
        <v>#N/A</v>
      </c>
      <c r="F31" s="466" t="n">
        <f aca="false">($B31*$B$7+$C31*$C$7)/100</f>
        <v>0.005</v>
      </c>
      <c r="G31" s="467" t="str">
        <f aca="false">IF(A31="","",IF(ISERROR(VLOOKUP($A31,'liste reference'!$A$7:$P$892,13,0)),IF(ISERROR(VLOOKUP($A31,'liste reference'!$B$7:$P$892,12,0)),"    -",VLOOKUP($A31,'liste reference'!$B$7:$P$892,12,0)),VLOOKUP($A31,'liste reference'!$A$7:$P$892,13,0)))</f>
        <v>PTE</v>
      </c>
      <c r="H31" s="449" t="n">
        <f aca="false">IF(A31="","x",IF(ISERROR(VLOOKUP($A31,'liste reference'!$A$7:$P$892,14,0)),IF(ISERROR(VLOOKUP($A31,'liste reference'!$B$7:$P$892,13,0)),"x",VLOOKUP($A31,'liste reference'!$B$7:$P$892,13,0)),VLOOKUP($A31,'liste reference'!$A$7:$P$892,14,0)))</f>
        <v>6</v>
      </c>
      <c r="I31" s="468" t="n">
        <f aca="false">IF(ISNUMBER(H31),IF(ISERROR(VLOOKUP($A31,'liste reference'!$A$7:$P$892,3,0)),IF(ISERROR(VLOOKUP($A31,'liste reference'!$B$7:$P$892,2,0)),"",VLOOKUP($A31,'liste reference'!$B$7:$P$892,2,0)),VLOOKUP($A31,'liste reference'!$A$7:$P$892,3,0)),"")</f>
        <v>0</v>
      </c>
      <c r="J31" s="451" t="n">
        <f aca="false">IF(ISNUMBER(H31),IF(ISERROR(VLOOKUP($A31,'liste reference'!$A$7:$P$892,4,0)),IF(ISERROR(VLOOKUP($A31,'liste reference'!$B$7:$P$892,3,0)),"",VLOOKUP($A31,'liste reference'!$B$7:$P$892,3,0)),VLOOKUP($A31,'liste reference'!$A$7:$P$892,4,0)),"")</f>
        <v>0</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Equisetum arvense</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1384</v>
      </c>
      <c r="Q31" s="455" t="n">
        <f aca="false">IF(ISTEXT(H31),"",(B31*$B$7/100)+(C31*$C$7/100))</f>
        <v>0.005</v>
      </c>
      <c r="R31" s="456" t="n">
        <f aca="false">IF(OR(ISTEXT(H31),Q31=0),"",IF(Q31&lt;0.1,1,IF(Q31&lt;1,2,IF(Q31&lt;10,3,IF(Q31&lt;50,4,IF(Q31&gt;=50,5,""))))))</f>
        <v>1</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EQUARV</v>
      </c>
      <c r="Z31" s="250" t="n">
        <f aca="false">IF(ISERROR(MATCH(A31,'liste reference'!$A$7:$A$892,0)),IF(ISERROR(MATCH(A31,'liste reference'!$B$7:$B$892,0)),"",(MATCH(A31,'liste reference'!$B$7:$B$892,0))),(MATCH(A31,'liste reference'!$A$7:$A$892,0)))</f>
        <v>266</v>
      </c>
      <c r="AA31" s="460"/>
      <c r="AB31" s="461"/>
      <c r="AC31" s="461"/>
      <c r="BC31" s="250" t="n">
        <f aca="false">IF(A31="","",1)</f>
        <v>1</v>
      </c>
    </row>
    <row r="32" customFormat="false" ht="12.75" hidden="false" customHeight="false" outlineLevel="0" collapsed="false">
      <c r="A32" s="462" t="s">
        <v>1410</v>
      </c>
      <c r="B32" s="463" t="n">
        <v>0.02</v>
      </c>
      <c r="C32" s="464" t="n">
        <v>0.05</v>
      </c>
      <c r="D32" s="465" t="str">
        <f aca="false">IF(ISERROR(VLOOKUP($A32,'liste reference'!$A$7:$D$892,2,0)),IF(ISERROR(VLOOKUP($A32,'liste reference'!$B$7:$D$892,1,0)),"",VLOOKUP($A32,'liste reference'!$B$7:$D$892,1,0)),VLOOKUP($A32,'liste reference'!$A$7:$D$892,2,0))</f>
        <v>Mentha aquatica</v>
      </c>
      <c r="E32" s="465" t="e">
        <f aca="false">IF(D32="",0,VLOOKUP(D32,D$22:D31,1,0))</f>
        <v>#N/A</v>
      </c>
      <c r="F32" s="466" t="n">
        <f aca="false">($B32*$B$7+$C32*$C$7)/100</f>
        <v>0.0251</v>
      </c>
      <c r="G32" s="467" t="str">
        <f aca="false">IF(A32="","",IF(ISERROR(VLOOKUP($A32,'liste reference'!$A$7:$P$892,13,0)),IF(ISERROR(VLOOKUP($A32,'liste reference'!$B$7:$P$892,12,0)),"    -",VLOOKUP($A32,'liste reference'!$B$7:$P$892,12,0)),VLOOKUP($A32,'liste reference'!$A$7:$P$892,13,0)))</f>
        <v>PHe</v>
      </c>
      <c r="H32" s="449" t="n">
        <f aca="false">IF(A32="","x",IF(ISERROR(VLOOKUP($A32,'liste reference'!$A$7:$P$892,14,0)),IF(ISERROR(VLOOKUP($A32,'liste reference'!$B$7:$P$892,13,0)),"x",VLOOKUP($A32,'liste reference'!$B$7:$P$892,13,0)),VLOOKUP($A32,'liste reference'!$A$7:$P$892,14,0)))</f>
        <v>8</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1</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Mentha aquatica</v>
      </c>
      <c r="L32" s="469"/>
      <c r="M32" s="469"/>
      <c r="N32" s="469"/>
      <c r="O32" s="454" t="str">
        <f aca="false">IF(AA32="Cf.","Cf.","")</f>
        <v>Cf.</v>
      </c>
      <c r="P32" s="454" t="n">
        <f aca="false">IF($A32="NEWCOD",IF($AC32="","No",$AC32),IF(ISTEXT($E32),"DEJA SAISI !",IF($A32="","",IF(ISERROR(VLOOKUP($A32,'liste reference'!A:S,19,FALSE())),IF(ISERROR(VLOOKUP($A32,'liste reference'!B:S,19,FALSE())),"",VLOOKUP($A32,'liste reference'!B:S,19,FALSE())),VLOOKUP($A32,'liste reference'!A:S,19,FALSE())))))</f>
        <v>1791</v>
      </c>
      <c r="Q32" s="455" t="n">
        <f aca="false">IF(ISTEXT(H32),"",(B32*$B$7/100)+(C32*$C$7/100))</f>
        <v>0.0251</v>
      </c>
      <c r="R32" s="456" t="n">
        <f aca="false">IF(OR(ISTEXT(H32),Q32=0),"",IF(Q32&lt;0.1,1,IF(Q32&lt;1,2,IF(Q32&lt;10,3,IF(Q32&lt;50,4,IF(Q32&gt;=50,5,""))))))</f>
        <v>1</v>
      </c>
      <c r="S32" s="456" t="n">
        <f aca="false">IF(ISERROR(R32*I32),0,R32*I32)</f>
        <v>12</v>
      </c>
      <c r="T32" s="456" t="n">
        <f aca="false">IF(ISERROR(R32*I32*J32),0,R32*I32*J32)</f>
        <v>12</v>
      </c>
      <c r="U32" s="470" t="n">
        <f aca="false">IF(ISERROR(R32*J32),0,R32*J32)</f>
        <v>1</v>
      </c>
      <c r="V32" s="457" t="n">
        <v>1</v>
      </c>
      <c r="W32" s="458"/>
      <c r="Y32" s="459" t="str">
        <f aca="false">IF(A32="new.cod","NEWCOD",IF(AND((Z32=""),ISTEXT(A32)),A32,IF(Z32="","",INDEX('liste reference'!$A$7:$A$892,Z32))))</f>
        <v>MENAQU</v>
      </c>
      <c r="Z32" s="250" t="n">
        <f aca="false">IF(ISERROR(MATCH(A32,'liste reference'!$A$7:$A$892,0)),IF(ISERROR(MATCH(A32,'liste reference'!$B$7:$B$892,0)),"",(MATCH(A32,'liste reference'!$B$7:$B$892,0))),(MATCH(A32,'liste reference'!$A$7:$A$892,0)))</f>
        <v>458</v>
      </c>
      <c r="AA32" s="460" t="s">
        <v>2684</v>
      </c>
      <c r="AB32" s="461"/>
      <c r="AC32" s="461"/>
      <c r="BC32" s="250" t="n">
        <f aca="false">IF(A32="","",1)</f>
        <v>1</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IF(D44="",0,VLOOKUP(D44,D$22:D37,1,0))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2685</v>
      </c>
      <c r="B62" s="463" t="n">
        <v>0.5</v>
      </c>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0.415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Fragilaria sp.</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2685</v>
      </c>
      <c r="B63" s="463" t="n">
        <v>0.005</v>
      </c>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Potentilla reptans</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CASALUNA</v>
      </c>
      <c r="B84" s="493" t="str">
        <f aca="false">C3</f>
        <v>Gavignano</v>
      </c>
      <c r="C84" s="494" t="n">
        <f aca="false">A4</f>
        <v>41072</v>
      </c>
      <c r="D84" s="495" t="n">
        <f aca="false">IF(ISERROR(SUM($T$23:$T$82)/SUM($U$23:$U$82)),"",SUM($T$23:$T$82)/SUM($U$23:$U$82))</f>
        <v>10.3846153846154</v>
      </c>
      <c r="E84" s="496" t="n">
        <f aca="false">N13</f>
        <v>12</v>
      </c>
      <c r="F84" s="493" t="n">
        <f aca="false">N14</f>
        <v>10</v>
      </c>
      <c r="G84" s="493" t="n">
        <f aca="false">N15</f>
        <v>6</v>
      </c>
      <c r="H84" s="493" t="n">
        <f aca="false">N16</f>
        <v>1</v>
      </c>
      <c r="I84" s="493" t="n">
        <f aca="false">N17</f>
        <v>1</v>
      </c>
      <c r="J84" s="497" t="n">
        <f aca="false">N8</f>
        <v>8.2</v>
      </c>
      <c r="K84" s="495" t="n">
        <f aca="false">N9</f>
        <v>5.47316686713968</v>
      </c>
      <c r="L84" s="496" t="n">
        <f aca="false">N10</f>
        <v>0</v>
      </c>
      <c r="M84" s="496" t="n">
        <f aca="false">N11</f>
        <v>15</v>
      </c>
      <c r="N84" s="495" t="n">
        <f aca="false">O8</f>
        <v>1.1</v>
      </c>
      <c r="O84" s="495" t="n">
        <f aca="false">O9</f>
        <v>0.875595035770913</v>
      </c>
      <c r="P84" s="496" t="n">
        <f aca="false">O10</f>
        <v>0</v>
      </c>
      <c r="Q84" s="496" t="n">
        <f aca="false">O11</f>
        <v>3</v>
      </c>
      <c r="R84" s="496" t="n">
        <f aca="false">F21</f>
        <v>0.881</v>
      </c>
      <c r="S84" s="496" t="n">
        <f aca="false">K11</f>
        <v>0</v>
      </c>
      <c r="T84" s="496" t="n">
        <f aca="false">K12</f>
        <v>7</v>
      </c>
      <c r="U84" s="496" t="n">
        <f aca="false">K13</f>
        <v>1</v>
      </c>
      <c r="V84" s="498" t="n">
        <f aca="false">K14</f>
        <v>1</v>
      </c>
      <c r="W84" s="499" t="n">
        <f aca="false">K15</f>
        <v>1</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15</v>
      </c>
      <c r="T87" s="250"/>
      <c r="U87" s="250"/>
      <c r="V87" s="250"/>
    </row>
    <row r="88" customFormat="false" ht="12.75" hidden="true" customHeight="false" outlineLevel="0" collapsed="false">
      <c r="P88" s="250"/>
      <c r="Q88" s="250" t="s">
        <v>2691</v>
      </c>
      <c r="R88" s="250"/>
      <c r="S88" s="457" t="n">
        <f aca="false">VLOOKUP((S87),($S$23:$U$82),2,0)</f>
        <v>30</v>
      </c>
      <c r="T88" s="250"/>
      <c r="U88" s="250"/>
      <c r="V88" s="250"/>
    </row>
    <row r="89" customFormat="false" ht="12.75" hidden="false" customHeight="false" outlineLevel="0" collapsed="false">
      <c r="Q89" s="250" t="s">
        <v>2692</v>
      </c>
      <c r="R89" s="250"/>
      <c r="S89" s="457" t="n">
        <f aca="false">VLOOKUP((S87),($S$23:$U$82),3,0)</f>
        <v>2</v>
      </c>
      <c r="T89" s="250"/>
    </row>
    <row r="90" customFormat="false" ht="12.75" hidden="false" customHeight="false" outlineLevel="0" collapsed="false">
      <c r="Q90" s="250" t="s">
        <v>2693</v>
      </c>
      <c r="R90" s="250"/>
      <c r="S90" s="502" t="n">
        <f aca="false">IF(ISERROR(SUM($T$23:$T$82)/SUM($U$23:$U$82)),"",(SUM($T$23:$T$82)-S88)/(SUM($U$23:$U$82)-S89))</f>
        <v>9.54545454545455</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2</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2716</v>
      </c>
      <c r="C18" s="532"/>
      <c r="D18" s="533"/>
      <c r="F18" s="540" t="s">
        <v>2717</v>
      </c>
      <c r="G18" s="541"/>
      <c r="H18" s="540" t="s">
        <v>2717</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2013-04-11T15:06:08Z</dcterms:modified>
  <cp:revision>0</cp:revision>
  <dc:subject/>
  <dc:title>Feuille d'aide au calcul de l'IBMR</dc:title>
</cp:coreProperties>
</file>