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400" sheetId="6" state="visible" r:id="rId8"/>
    <sheet name="modele" sheetId="7" state="hidden" r:id="rId9"/>
    <sheet name="liste codes réf" sheetId="8" state="hidden" r:id="rId10"/>
  </sheets>
  <definedNames>
    <definedName function="false" hidden="false" localSheetId="5" name="_xlnm.Print_Area" vbProcedure="false">'06213400'!$A$1:$O$82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'06213400'!$A$23:$J$84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<sst xmlns="http://schemas.openxmlformats.org/spreadsheetml/2006/main" count="7356" uniqueCount="2730">
  <si>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</si>
  <si>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</si>
  <si>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</si>
  <si>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</si>
  <si>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</si>
  <si>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</si>
  <si>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</si>
  <si>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</si>
  <si>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</si>
  <si>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</si>
  <si>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</si>
  <si>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</si>
  <si>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</si>
  <si>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</si>
  <si>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</si>
  <si>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</si>
  <si>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</si>
  <si>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</si>
  <si>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</si>
  <si>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</si>
  <si>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</si>
  <si>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</si>
  <si>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</si>
  <si>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</si>
  <si>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</si>
  <si>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</si>
  <si>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</si>
  <si>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</si>
  <si>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</si>
  <si>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</si>
  <si>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</si>
  <si>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</si>
  <si>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</si>
  <si>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</si>
  <si>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</si>
  <si>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</si>
  <si>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</si>
  <si>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</si>
  <si>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</si>
  <si>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</si>
  <si>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</si>
  <si>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</si>
  <si>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</si>
  <si>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</si>
  <si>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</si>
  <si>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</si>
  <si>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</si>
  <si>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</si>
  <si>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</si>
  <si>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</si>
  <si>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</si>
  <si>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</si>
  <si>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</si>
  <si>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</si>
  <si>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</si>
  <si>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</si>
  <si>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</si>
  <si>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</si>
  <si>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</si>
  <si>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</si>
  <si>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</si>
  <si>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</si>
  <si>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</si>
  <si>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</si>
  <si>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</si>
  <si>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</si>
  <si>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</si>
  <si>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</si>
  <si>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</si>
  <si>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</si>
  <si>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</si>
  <si>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</si>
  <si>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</si>
  <si>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</si>
  <si>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</si>
  <si>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</si>
  <si>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</si>
  <si>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</si>
  <si>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</si>
  <si>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</si>
  <si>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</si>
  <si>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</si>
  <si>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</si>
  <si>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</si>
  <si>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</si>
  <si>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</si>
  <si>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</si>
  <si>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</si>
  <si>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</si>
  <si>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</si>
  <si>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</si>
  <si>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</si>
  <si>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</si>
  <si>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</si>
  <si>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</si>
  <si>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</si>
  <si>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</si>
  <si>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</si>
  <si>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</si>
  <si>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</si>
  <si>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</si>
  <si>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</si>
  <si>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</si>
  <si>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</si>
  <si>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</si>
  <si>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</si>
  <si>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</si>
  <si>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</si>
  <si>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</si>
  <si>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</si>
  <si>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</si>
  <si>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</si>
  <si>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</si>
  <si>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</si>
  <si>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</si>
  <si>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</si>
  <si>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</si>
  <si>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</si>
  <si>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</si>
  <si>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</si>
  <si>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</si>
  <si>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</si>
  <si>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</si>
  <si>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</si>
  <si>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</si>
  <si>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</si>
  <si>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</si>
  <si>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</si>
  <si>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</si>
  <si>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</si>
  <si>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</si>
  <si>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</si>
  <si>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</si>
  <si>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</si>
  <si>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</si>
  <si>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</si>
  <si>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</si>
  <si>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</si>
  <si>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</si>
  <si>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</si>
  <si>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</si>
  <si>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</si>
  <si>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</si>
  <si>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</si>
  <si>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</si>
  <si>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</si>
  <si>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</si>
  <si>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</si>
  <si>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</si>
  <si>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</si>
  <si>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</si>
  <si>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</si>
  <si>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</si>
  <si>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</si>
  <si>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</si>
  <si>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</si>
  <si>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</si>
  <si>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</si>
  <si>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</si>
  <si>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</si>
  <si>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</si>
  <si>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</si>
  <si>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</si>
  <si>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</si>
  <si>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</si>
  <si>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</si>
  <si>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</si>
  <si>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</si>
  <si>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</si>
  <si>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</si>
  <si>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</si>
  <si>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</si>
  <si>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</si>
  <si>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</si>
  <si>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</si>
  <si>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</si>
  <si>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</si>
  <si>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</si>
  <si>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</si>
  <si>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</si>
  <si>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</si>
  <si>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</si>
  <si>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</si>
  <si>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</si>
  <si>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</si>
  <si>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</si>
  <si>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</si>
  <si>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</si>
  <si>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</si>
  <si>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</si>
  <si>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</si>
  <si>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</si>
  <si>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</si>
  <si>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</si>
  <si>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</si>
  <si>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</si>
  <si>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</si>
  <si>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</si>
  <si>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</si>
  <si>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</si>
  <si>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</si>
  <si>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</si>
  <si>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</si>
  <si>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</si>
  <si>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</si>
  <si>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</si>
  <si>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</si>
  <si>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</si>
  <si>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</si>
  <si>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</si>
  <si>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</si>
  <si>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</si>
  <si>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</si>
  <si>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</si>
  <si>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</si>
  <si>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</si>
  <si>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</si>
  <si>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</si>
  <si>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</si>
  <si>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</si>
  <si>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</si>
  <si>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</si>
  <si>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</si>
  <si>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</si>
  <si>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</si>
  <si>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</si>
  <si>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</si>
  <si>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</si>
  <si>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</si>
  <si>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</si>
  <si>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</si>
  <si>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</si>
  <si>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</si>
  <si>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</si>
  <si>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</si>
  <si>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</si>
  <si>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</si>
  <si>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</si>
  <si>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</si>
  <si>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</si>
  <si>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</si>
  <si>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</si>
  <si>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</si>
  <si>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</si>
  <si>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</si>
  <si>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</si>
  <si>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</si>
  <si>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</si>
  <si>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</si>
  <si>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</si>
  <si>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</si>
  <si>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</si>
  <si>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</si>
  <si>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</si>
  <si>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</si>
  <si>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</si>
  <si>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</si>
  <si>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</si>
  <si>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</si>
  <si>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</si>
  <si>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</si>
  <si>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</si>
  <si>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</si>
  <si>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</si>
  <si>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</si>
  <si>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</si>
  <si>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</si>
  <si>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</si>
  <si>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</si>
  <si>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</si>
  <si>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</si>
  <si>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</si>
  <si>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</si>
  <si>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</si>
  <si>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</si>
  <si>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</si>
  <si>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</si>
  <si>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</si>
  <si>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</si>
  <si>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</si>
  <si>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</si>
  <si>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</si>
  <si>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</si>
  <si>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</si>
  <si>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</si>
  <si>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</si>
  <si>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</si>
  <si>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</si>
  <si>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</si>
  <si>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</si>
  <si>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</si>
  <si>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</si>
  <si>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</si>
  <si>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</si>
  <si>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</si>
  <si>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</si>
  <si>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</si>
  <si>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</si>
  <si>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</si>
  <si>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</si>
  <si>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</si>
  <si>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</si>
  <si>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</si>
  <si>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</si>
  <si>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</si>
  <si>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</si>
  <si>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</si>
  <si>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</si>
  <si>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</si>
  <si>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</si>
  <si>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</si>
  <si>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</si>
  <si>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</si>
  <si>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</si>
  <si>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</si>
  <si>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</si>
  <si>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</si>
  <si>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</si>
  <si>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</si>
  <si>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</si>
  <si>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</si>
  <si>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</si>
  <si>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</si>
  <si>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</si>
  <si>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</si>
  <si>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</si>
  <si>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</si>
  <si>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</si>
  <si>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</si>
  <si>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</si>
  <si>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</si>
  <si>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</si>
  <si>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</si>
  <si>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</si>
  <si>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</si>
  <si>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</si>
  <si>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</si>
  <si>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</si>
  <si>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</si>
  <si>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</si>
  <si>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</si>
  <si>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</si>
  <si>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</si>
  <si>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</si>
  <si>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</si>
  <si>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</si>
  <si>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</si>
  <si>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</si>
  <si>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</si>
  <si>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</si>
  <si>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</si>
  <si>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</si>
  <si>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</si>
  <si>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</si>
  <si>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</si>
  <si>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</si>
  <si>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</si>
  <si>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</si>
  <si>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</si>
  <si>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</si>
  <si>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</si>
  <si>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</si>
  <si>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</si>
  <si>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</si>
  <si>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</si>
  <si>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</si>
  <si>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</si>
  <si>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</si>
  <si>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</si>
  <si>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</si>
  <si>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</si>
  <si>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</si>
  <si>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</si>
  <si>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</si>
  <si>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</si>
  <si>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</si>
  <si>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</si>
  <si>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</si>
  <si>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</si>
  <si>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</si>
  <si>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</si>
  <si>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</si>
  <si>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</si>
  <si>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</si>
  <si>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</si>
  <si>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</si>
  <si>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</si>
  <si>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</si>
  <si>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</si>
  <si>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</si>
  <si>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</si>
  <si>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</si>
  <si>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</si>
  <si>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</si>
  <si>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</si>
  <si>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</si>
  <si>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</si>
  <si>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</si>
  <si>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</si>
  <si>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</si>
  <si>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</si>
  <si>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</si>
  <si>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</si>
  <si>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</si>
  <si>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</si>
  <si>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</si>
  <si>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</si>
  <si>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</si>
  <si>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</si>
  <si>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</si>
  <si>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</si>
  <si>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</si>
  <si>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</si>
  <si>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</si>
  <si>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</si>
  <si>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</si>
  <si>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</si>
  <si>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</si>
  <si>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</si>
  <si>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</si>
  <si>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</si>
  <si>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</si>
  <si>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</si>
  <si>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</si>
  <si>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</si>
  <si>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</si>
  <si>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</si>
  <si>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</si>
  <si>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</si>
  <si>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</si>
  <si>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</si>
  <si>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</si>
  <si>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</si>
  <si>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</si>
  <si>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</si>
  <si>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</si>
  <si>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</si>
  <si>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</si>
  <si>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</si>
  <si>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</si>
  <si>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</si>
  <si>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</si>
  <si>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</si>
  <si>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</si>
  <si>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</si>
  <si>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</si>
  <si>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</si>
  <si>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</si>
  <si>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</si>
  <si>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</si>
  <si>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</si>
  <si>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</si>
  <si>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</si>
  <si>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</si>
  <si>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</si>
  <si>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</si>
  <si>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</si>
  <si>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</si>
  <si>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</si>
  <si>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</si>
  <si>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</si>
  <si>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</si>
  <si>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</si>
  <si>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</si>
  <si>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</si>
  <si>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</si>
  <si>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</si>
  <si>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</si>
  <si>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</si>
  <si>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</si>
  <si>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</si>
  <si>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</si>
  <si>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</si>
  <si>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</si>
  <si>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</si>
  <si>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</si>
  <si>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</si>
  <si>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</si>
  <si>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</si>
  <si>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</si>
  <si>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</si>
  <si>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</si>
  <si>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</si>
  <si>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</si>
  <si>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</si>
  <si>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</si>
  <si>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</si>
  <si>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</si>
  <si>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</si>
  <si>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</si>
  <si>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</si>
  <si>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</si>
  <si>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</si>
  <si>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</si>
  <si>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</si>
  <si>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</si>
  <si>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</si>
  <si>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</si>
  <si>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</si>
  <si>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</si>
  <si>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</si>
  <si>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</si>
  <si>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</si>
  <si>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</si>
  <si>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</si>
  <si>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</si>
  <si>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</si>
  <si>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</si>
  <si>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</si>
  <si>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</si>
  <si>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</si>
  <si>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</si>
  <si>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</si>
  <si>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</si>
  <si>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</si>
  <si>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</si>
  <si>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</si>
  <si>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</si>
  <si>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</si>
  <si>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</si>
  <si>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</si>
  <si>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</si>
  <si>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</si>
  <si>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</si>
  <si>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</si>
  <si>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</si>
  <si>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</si>
  <si>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</si>
  <si>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</si>
  <si>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</si>
  <si>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</si>
  <si>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</si>
  <si>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</si>
  <si>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</si>
  <si>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</si>
  <si>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</si>
  <si>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</si>
  <si>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</si>
  <si>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</si>
  <si>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</si>
  <si>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</si>
  <si>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</si>
  <si>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</si>
  <si>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</si>
  <si>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</si>
  <si>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</si>
  <si>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</si>
  <si>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</si>
  <si>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</si>
  <si>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</si>
  <si>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</si>
  <si>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</si>
  <si>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</si>
  <si>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</si>
  <si>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</si>
  <si>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</si>
  <si>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</si>
  <si>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</si>
  <si>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</si>
  <si>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</si>
  <si>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</si>
  <si>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</si>
  <si>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</si>
  <si>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</si>
  <si>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</si>
  <si>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</si>
  <si>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</si>
  <si>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</si>
  <si>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</si>
  <si>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</si>
  <si>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</si>
  <si>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</si>
  <si>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</si>
  <si>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</si>
  <si>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</si>
  <si>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</si>
  <si>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</si>
  <si>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</si>
  <si>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</si>
  <si>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</si>
  <si>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</si>
  <si>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</si>
  <si>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</si>
  <si>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</si>
  <si>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</si>
  <si>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</si>
  <si>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</si>
  <si>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</si>
  <si>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</si>
  <si>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</si>
  <si>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</si>
  <si>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</si>
  <si>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</si>
  <si>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</si>
  <si>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</si>
  <si>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</si>
  <si>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</si>
  <si>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</si>
  <si>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</si>
  <si>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</si>
  <si>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</si>
  <si>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</si>
  <si>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</si>
  <si>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</si>
  <si>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</si>
  <si>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</si>
  <si>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</si>
  <si>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</si>
  <si>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</si>
  <si>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</si>
  <si>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</si>
  <si>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</si>
  <si>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</si>
  <si>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</si>
  <si>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</si>
  <si>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</si>
  <si>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</si>
  <si>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</si>
  <si>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</si>
  <si>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</si>
  <si>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</si>
  <si>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</si>
  <si>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</si>
  <si>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</si>
  <si>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</si>
  <si>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</si>
  <si>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</si>
  <si>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</si>
  <si>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</si>
  <si>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</si>
  <si>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</si>
  <si>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</si>
  <si>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</si>
  <si>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</si>
  <si>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</si>
  <si>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</si>
  <si>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</si>
  <si>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</si>
  <si>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</si>
  <si>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</si>
  <si>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</si>
  <si>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</si>
  <si>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</si>
  <si>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</si>
  <si>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</si>
  <si>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</si>
  <si>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</si>
  <si>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</si>
  <si>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</si>
  <si>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</si>
  <si>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</si>
  <si>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</si>
  <si>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</si>
  <si>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</si>
  <si>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</si>
  <si>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</si>
  <si>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</si>
  <si>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</si>
  <si>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</si>
  <si>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</si>
  <si>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</si>
  <si>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</si>
  <si>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</si>
  <si>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</si>
  <si>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</si>
  <si>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</si>
  <si>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</si>
  <si>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</si>
  <si>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</si>
  <si>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</si>
  <si>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</si>
  <si>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</si>
  <si>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</si>
  <si>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</si>
  <si>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</si>
  <si>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</si>
  <si>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</si>
  <si>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</si>
  <si>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</si>
  <si>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</si>
  <si>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</si>
  <si>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</si>
  <si>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</si>
  <si>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</si>
  <si>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</si>
  <si>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</si>
  <si>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</si>
  <si>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</si>
  <si>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</si>
  <si>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</si>
  <si>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</si>
  <si>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</si>
  <si>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</si>
  <si>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</si>
  <si>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</si>
  <si>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</si>
  <si>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</si>
  <si>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</si>
  <si>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</si>
  <si>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</si>
  <si>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</si>
  <si>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</si>
  <si>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</si>
  <si>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</si>
  <si>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</si>
  <si>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</si>
  <si>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</si>
  <si>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</si>
  <si>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</si>
  <si>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</si>
  <si>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</si>
  <si>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</si>
  <si>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</si>
  <si>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</si>
  <si>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</si>
  <si>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</si>
  <si>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</si>
  <si>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</si>
  <si>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</si>
  <si>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</si>
  <si>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</si>
  <si>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</si>
  <si>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</si>
  <si>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</si>
  <si>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</si>
  <si>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</si>
  <si>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</si>
  <si>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</si>
  <si>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</si>
  <si>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</si>
  <si>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</si>
  <si>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</si>
  <si>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</si>
  <si>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</si>
  <si>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</si>
  <si>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</si>
  <si>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</si>
  <si>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</si>
  <si>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</si>
  <si>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</si>
  <si>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</si>
  <si>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</si>
  <si>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</si>
  <si>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</si>
  <si>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</si>
  <si>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</si>
  <si>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</si>
  <si>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</si>
  <si>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</si>
  <si>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</si>
  <si>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</si>
  <si>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</si>
  <si>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</si>
  <si>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</si>
  <si>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</si>
  <si>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</si>
  <si>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</si>
  <si>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</si>
  <si>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</si>
  <si>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</si>
  <si>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</si>
  <si>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</si>
  <si>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</si>
  <si>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</si>
  <si>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</si>
  <si>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</si>
  <si>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</si>
  <si>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</si>
  <si>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</si>
  <si>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</si>
  <si>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</si>
  <si>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</si>
  <si>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</si>
  <si>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</si>
  <si>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</si>
  <si>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</si>
  <si>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</si>
  <si>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</si>
  <si>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</si>
  <si>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</si>
  <si>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</si>
  <si>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</si>
  <si>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</si>
  <si>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</si>
  <si>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</si>
  <si>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</si>
  <si>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</si>
  <si>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</si>
  <si>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</si>
  <si>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</si>
  <si>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</si>
  <si>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</si>
  <si>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</si>
  <si>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</si>
  <si>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</si>
  <si>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</si>
  <si>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</si>
  <si>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</si>
  <si>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</si>
  <si>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</si>
  <si>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</si>
  <si>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</si>
  <si>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</si>
  <si>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</si>
  <si>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</si>
  <si>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</si>
  <si>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</si>
  <si>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</si>
  <si>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</si>
  <si>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</si>
  <si>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</si>
  <si>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</si>
  <si>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</si>
  <si>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</si>
  <si>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</si>
  <si>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</si>
  <si>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</si>
  <si>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</si>
  <si>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</si>
  <si>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</si>
  <si>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</si>
  <si>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</si>
  <si>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</si>
  <si>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</si>
  <si>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</si>
  <si>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</si>
  <si>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</si>
  <si>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</si>
  <si>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</si>
  <si>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</si>
  <si>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</si>
  <si>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</si>
  <si>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</si>
  <si>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</si>
  <si>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</si>
  <si>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</si>
  <si>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</si>
  <si>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</si>
  <si>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</si>
  <si>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</si>
  <si>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</si>
  <si>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</si>
  <si>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</si>
  <si>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</si>
  <si>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</si>
  <si>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</si>
  <si>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</si>
  <si>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</si>
  <si>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</si>
  <si>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</si>
  <si>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</si>
  <si>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</si>
  <si>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</si>
  <si>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</si>
  <si>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</si>
  <si>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</si>
  <si>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</si>
  <si>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</si>
  <si>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</si>
  <si>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</si>
  <si>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</si>
  <si>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</si>
  <si>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</si>
  <si>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</si>
  <si>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</si>
  <si>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</si>
  <si>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</si>
  <si>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</si>
  <si>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</si>
  <si>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</si>
  <si>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</si>
  <si>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</si>
  <si>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</si>
  <si>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</si>
  <si>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</si>
  <si>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</si>
  <si>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</si>
  <si>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</si>
  <si>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</si>
  <si>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</si>
  <si>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</si>
  <si>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</si>
  <si>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</si>
  <si>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</si>
  <si>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</si>
  <si>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</si>
  <si>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</si>
  <si>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</si>
  <si>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</si>
  <si>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</si>
  <si>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</si>
  <si>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</si>
  <si>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</si>
  <si>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</si>
  <si>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</si>
  <si>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</si>
  <si>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</si>
  <si>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</si>
  <si>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</si>
  <si>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</si>
  <si>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</si>
  <si>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</si>
  <si>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</si>
  <si>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</si>
  <si>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</si>
  <si>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</si>
  <si>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</si>
  <si>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</si>
  <si>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</si>
  <si>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</si>
  <si>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</si>
  <si>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</si>
  <si>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</si>
  <si>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</si>
  <si>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</si>
  <si>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</si>
  <si>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</si>
  <si>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</si>
  <si>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</si>
  <si>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</si>
  <si>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</si>
  <si>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</si>
  <si>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</si>
  <si>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</si>
  <si>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</si>
  <si>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</si>
  <si>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</si>
  <si>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</si>
  <si>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</si>
  <si>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</si>
  <si>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</si>
  <si>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</si>
  <si>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</si>
  <si>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</si>
  <si>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</si>
  <si>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</si>
  <si>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</si>
  <si>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</si>
  <si>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</si>
  <si>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</si>
  <si>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</si>
  <si>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</si>
  <si>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</si>
  <si>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</si>
  <si>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</si>
  <si>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</si>
  <si>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</si>
  <si>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</si>
  <si>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</si>
  <si>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</si>
  <si>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</si>
  <si>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</si>
  <si>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</si>
  <si>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</si>
  <si>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</si>
  <si>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</si>
  <si>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</si>
  <si>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</si>
  <si>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</si>
  <si>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</si>
  <si>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</si>
  <si>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</si>
  <si>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</si>
  <si>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</si>
  <si>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</si>
  <si>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</si>
  <si>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</si>
  <si>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</si>
  <si>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</si>
  <si>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</si>
  <si>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</si>
  <si>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</si>
  <si>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</si>
  <si>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</si>
  <si>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</si>
  <si>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</si>
  <si>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</si>
  <si>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</si>
  <si>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</si>
  <si>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</si>
  <si>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</si>
  <si>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</si>
  <si>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</si>
  <si>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</si>
  <si>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</si>
  <si>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</si>
  <si>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</si>
  <si>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</si>
  <si>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</si>
  <si>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</si>
  <si>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</si>
  <si>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</si>
  <si>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</si>
  <si>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</si>
  <si>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</si>
  <si>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</si>
  <si>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</si>
  <si>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</si>
  <si>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</si>
  <si>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</si>
  <si>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</si>
  <si>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</si>
  <si>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</si>
  <si>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</si>
  <si>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</si>
  <si>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</si>
  <si>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</si>
  <si>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</si>
  <si>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</si>
  <si>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</si>
  <si>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</si>
  <si>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</si>
  <si>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</si>
  <si>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</si>
  <si>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</si>
  <si>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</si>
  <si>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</si>
  <si>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</si>
  <si>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</si>
  <si>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</si>
  <si>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</si>
  <si>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</si>
  <si>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</si>
  <si>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</si>
  <si>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</si>
  <si>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</si>
  <si>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</si>
  <si>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</si>
  <si>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</si>
  <si>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</si>
  <si>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</si>
  <si>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</si>
  <si>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</si>
  <si>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</si>
  <si>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</si>
  <si>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</si>
  <si>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</si>
  <si>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</si>
  <si>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</si>
  <si>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</si>
  <si>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</si>
  <si>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</si>
  <si>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</si>
  <si>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</si>
  <si>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</si>
  <si>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</si>
  <si>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</si>
  <si>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</si>
  <si>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</si>
  <si>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</si>
  <si>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</si>
  <si>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</si>
  <si>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</si>
  <si>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</si>
  <si>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</si>
  <si>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</si>
  <si>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</si>
  <si>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</si>
  <si>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</si>
  <si>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</si>
  <si>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</si>
  <si>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</si>
  <si>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</si>
  <si>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</si>
  <si>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</si>
  <si>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</si>
  <si>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</si>
  <si>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</si>
  <si>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</si>
  <si>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</si>
  <si>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</si>
  <si>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</si>
  <si>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</si>
  <si>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</si>
  <si>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</si>
  <si>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</si>
  <si>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</si>
  <si>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</si>
  <si>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</si>
  <si>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</si>
  <si>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</si>
  <si>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</si>
  <si>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</si>
  <si>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</si>
  <si>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</si>
  <si>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</si>
  <si>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</si>
  <si>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</si>
  <si>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</si>
  <si>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</si>
  <si>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</si>
  <si>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</si>
  <si>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</si>
  <si>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</si>
  <si>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</si>
  <si>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</si>
  <si>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</si>
  <si>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</si>
  <si>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</si>
  <si>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</si>
  <si>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</si>
  <si>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</si>
  <si>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</si>
  <si>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</si>
  <si>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</si>
  <si>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</si>
  <si>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</si>
  <si>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</si>
  <si>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</si>
  <si>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</si>
  <si>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</si>
  <si>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</si>
  <si>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</si>
  <si>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</si>
  <si>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</si>
  <si>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</si>
  <si>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</si>
  <si>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</si>
  <si>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</si>
  <si>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</si>
  <si>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</si>
  <si>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</si>
  <si>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</si>
  <si>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</si>
  <si>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</si>
  <si>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</si>
  <si>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</si>
  <si>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</si>
  <si>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</si>
  <si>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</si>
  <si>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</si>
  <si>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</si>
  <si>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</si>
  <si>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</si>
  <si>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</si>
  <si>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</si>
  <si>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</si>
  <si>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</si>
  <si>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</si>
  <si>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</si>
  <si>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</si>
  <si>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</si>
  <si>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</si>
  <si>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</si>
  <si>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</si>
  <si>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</si>
  <si>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</si>
  <si>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</si>
  <si>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</si>
  <si>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</si>
  <si>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</si>
  <si>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</si>
  <si>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</si>
  <si>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</si>
  <si>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</si>
  <si>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</si>
  <si>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</si>
  <si>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</si>
  <si>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</si>
  <si>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</si>
  <si>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</si>
  <si>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</si>
  <si>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</si>
  <si>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</si>
  <si>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</si>
  <si>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</si>
  <si>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</si>
  <si>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</si>
  <si>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</si>
  <si>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</si>
  <si>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</si>
  <si>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</si>
  <si>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</si>
  <si>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</si>
  <si>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</si>
  <si>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</si>
  <si>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</si>
  <si>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</si>
  <si>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</si>
  <si>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</si>
  <si>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</si>
  <si>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</si>
  <si>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</si>
  <si>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</si>
  <si>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</si>
  <si>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</si>
  <si>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</si>
  <si>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</si>
  <si>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</si>
  <si>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</si>
  <si>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</si>
  <si>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</si>
  <si>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</si>
  <si>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</si>
  <si>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</si>
  <si>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</si>
  <si>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</si>
  <si>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</si>
  <si>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</si>
  <si>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</si>
  <si>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</si>
  <si>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</si>
  <si>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</si>
  <si>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</si>
  <si>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</si>
  <si>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</si>
  <si>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</si>
  <si>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</si>
  <si>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</si>
  <si>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</si>
  <si>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</si>
  <si>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</si>
  <si>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</si>
  <si>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</si>
  <si>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</si>
  <si>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</si>
  <si>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</si>
  <si>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</si>
  <si>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</si>
  <si>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</si>
  <si>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</si>
  <si>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</si>
  <si>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</si>
  <si>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</si>
  <si>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</si>
  <si>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</si>
  <si>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</si>
  <si>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</si>
  <si>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</si>
  <si>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</si>
  <si>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</si>
  <si>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</si>
  <si>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</si>
  <si>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</si>
  <si>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</si>
  <si>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</si>
  <si>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</si>
  <si>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</si>
  <si>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</si>
  <si>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</si>
  <si>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</si>
  <si>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</si>
  <si>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</si>
  <si>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</si>
  <si>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</si>
  <si>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</si>
  <si>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</si>
  <si>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</si>
  <si>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</si>
  <si>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</si>
  <si>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</si>
  <si>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</si>
  <si>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</si>
  <si>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</si>
  <si>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</si>
  <si>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</si>
  <si>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</si>
  <si>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</si>
  <si>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</si>
  <si>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</si>
  <si>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</si>
  <si>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</si>
  <si>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</si>
  <si>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</si>
  <si>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</si>
  <si>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</si>
  <si>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</si>
  <si>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</si>
  <si>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</si>
  <si>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</si>
  <si>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</si>
  <si>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</si>
  <si>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</si>
  <si>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</si>
  <si>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</si>
  <si>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</si>
  <si>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</si>
  <si>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</si>
  <si>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</si>
  <si>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</si>
  <si>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</si>
  <si>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</si>
  <si>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</si>
  <si>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</si>
  <si>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</si>
  <si>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</si>
  <si>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</si>
  <si>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</si>
  <si>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</si>
  <si>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</si>
  <si>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</si>
  <si>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</si>
  <si>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</si>
  <si>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</si>
  <si>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</si>
  <si>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</si>
  <si>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</si>
  <si>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</si>
  <si>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</si>
  <si>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</si>
  <si>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</si>
  <si>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</si>
  <si>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</si>
  <si>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</si>
  <si>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</si>
  <si>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</si>
  <si>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</si>
  <si>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</si>
  <si>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</si>
  <si>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</si>
  <si>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</si>
  <si>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</si>
  <si>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</si>
  <si>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</si>
  <si>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</si>
  <si>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</si>
  <si>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</si>
  <si>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</si>
  <si>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</si>
  <si>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</si>
  <si>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</si>
  <si>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</si>
  <si>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</si>
  <si>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</si>
  <si>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</si>
  <si>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</si>
  <si>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</si>
  <si>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</si>
  <si>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</si>
  <si>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</si>
  <si>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</si>
  <si>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</si>
  <si>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</si>
  <si>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</si>
  <si>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</si>
  <si>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</si>
  <si>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</si>
  <si>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</si>
  <si>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</si>
  <si>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</si>
  <si>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</si>
  <si>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</si>
  <si>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</si>
  <si>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</si>
  <si>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</si>
  <si>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</si>
  <si>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</si>
  <si>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</si>
  <si>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</si>
  <si>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</si>
  <si>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</si>
  <si>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</si>
  <si>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</si>
  <si>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</si>
  <si>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</si>
  <si>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</si>
  <si>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</si>
  <si>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</si>
  <si>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</si>
  <si>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</si>
  <si>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</si>
  <si>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</si>
  <si>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</si>
  <si>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</si>
  <si>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</si>
  <si>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</si>
  <si>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</si>
  <si>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</si>
  <si>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</si>
  <si>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</si>
  <si>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</si>
  <si>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</si>
  <si>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</si>
  <si>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</si>
  <si>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</si>
  <si>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</si>
  <si>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</si>
  <si>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</si>
  <si>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</si>
  <si>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</si>
  <si>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</si>
  <si>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</si>
  <si>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</si>
  <si>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</si>
  <si>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</si>
  <si>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</si>
  <si>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</si>
  <si>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</si>
  <si>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</si>
  <si>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</si>
  <si>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</si>
  <si>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</si>
  <si>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</si>
  <si>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</si>
  <si>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</si>
  <si>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</si>
  <si>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</si>
  <si>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</si>
  <si>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</si>
  <si>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</si>
  <si>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</si>
  <si>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</si>
  <si>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</si>
  <si>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</si>
  <si>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</si>
  <si>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</si>
  <si>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</si>
  <si>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</si>
  <si>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</si>
  <si>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</si>
  <si>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</si>
  <si>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</si>
  <si>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</si>
  <si>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</si>
  <si>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</si>
  <si>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</si>
  <si>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</si>
  <si>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</si>
  <si>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</si>
  <si>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</si>
  <si>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</si>
  <si>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</si>
  <si>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</si>
  <si>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</si>
  <si>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</si>
  <si>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</si>
  <si>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</si>
  <si>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</si>
  <si>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</si>
  <si>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</si>
  <si>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</si>
  <si>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</si>
  <si>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</si>
  <si>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</si>
  <si>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</si>
  <si>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</si>
  <si>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</si>
  <si>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</si>
  <si>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</si>
  <si>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</si>
  <si>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</si>
  <si>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</si>
  <si>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</si>
  <si>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</si>
  <si>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</si>
  <si>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</si>
  <si>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</si>
  <si>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</si>
  <si>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</si>
  <si>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</si>
  <si>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</si>
  <si>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</si>
  <si>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</si>
  <si>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</si>
  <si>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</si>
  <si>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</si>
  <si>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</si>
  <si>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</si>
  <si>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</si>
  <si>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</si>
  <si>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</si>
  <si>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</si>
  <si>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</si>
  <si>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</si>
  <si>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</si>
  <si>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</si>
  <si>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</si>
  <si>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</si>
  <si>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</si>
  <si>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</si>
  <si>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</si>
  <si>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</si>
  <si>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</si>
  <si>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</si>
  <si>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</si>
  <si>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</si>
  <si>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</si>
  <si>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</si>
  <si>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</si>
  <si>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</si>
  <si>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</si>
  <si>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</si>
  <si>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</si>
  <si>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</si>
  <si>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</si>
  <si>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</si>
  <si>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</si>
  <si>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</si>
  <si>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</si>
  <si>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</si>
  <si>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</si>
  <si>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</si>
  <si>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</si>
  <si>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</si>
  <si>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</si>
  <si>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</si>
  <si>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</si>
  <si>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</si>
  <si>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</si>
  <si>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</si>
  <si>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</si>
  <si>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</si>
  <si>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</si>
  <si>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</si>
  <si>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</si>
  <si>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</si>
  <si>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</si>
  <si>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</si>
  <si>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</si>
  <si>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</si>
  <si>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</si>
  <si>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</si>
  <si>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</si>
  <si>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</si>
  <si>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</si>
  <si>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</si>
  <si>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</si>
  <si>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</si>
  <si>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</si>
  <si>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</si>
  <si>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</si>
  <si>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</si>
  <si>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</si>
  <si>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</si>
  <si>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</si>
  <si>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</si>
  <si>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</si>
  <si>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</si>
  <si>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</si>
  <si>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</si>
  <si>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</si>
  <si>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</si>
  <si>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</si>
  <si>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</si>
  <si>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</si>
  <si>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</si>
  <si>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</si>
  <si>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</si>
  <si>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</si>
  <si>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</si>
  <si>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</si>
  <si>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</si>
  <si>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</si>
  <si>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</si>
  <si>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</si>
  <si>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</si>
  <si>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</si>
  <si>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</si>
  <si>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</si>
  <si>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</si>
  <si>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</si>
  <si>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</si>
  <si>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</si>
  <si>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</si>
  <si>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</si>
  <si>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</si>
  <si>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</si>
  <si>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</si>
  <si>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</si>
  <si>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</si>
  <si>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</si>
  <si>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</si>
  <si>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</si>
  <si>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</si>
  <si>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</si>
  <si>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</si>
  <si>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</si>
  <si>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</si>
  <si>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</si>
  <si>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</si>
  <si>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</si>
  <si>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</si>
  <si>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</si>
  <si>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</si>
  <si>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</si>
  <si>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</si>
  <si>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</si>
  <si>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</si>
  <si>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</si>
  <si>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</si>
  <si>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</si>
  <si>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</si>
  <si>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</si>
  <si>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</si>
  <si>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</si>
  <si>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</si>
  <si>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</si>
  <si>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</si>
  <si>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</si>
  <si>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</si>
  <si>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</si>
  <si>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</si>
  <si>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</si>
  <si>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</si>
  <si>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</si>
  <si>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</si>
  <si>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</si>
  <si>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</si>
  <si>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</si>
  <si>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</si>
  <si>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</si>
  <si>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</si>
  <si>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</si>
  <si>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</si>
  <si>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</si>
  <si>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</si>
  <si>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</si>
  <si>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</si>
  <si>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</si>
  <si>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</si>
  <si>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</si>
  <si>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</si>
  <si>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</si>
  <si>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</si>
  <si>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</si>
  <si>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</si>
  <si>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</si>
  <si>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</si>
  <si>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</si>
  <si>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</si>
  <si>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</si>
  <si>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</si>
  <si>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</si>
  <si>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</si>
  <si>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</si>
  <si>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</si>
  <si>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</si>
  <si>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</si>
  <si>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</si>
  <si>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</si>
  <si>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</si>
  <si>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</si>
  <si>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</si>
  <si>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</si>
  <si>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</si>
  <si>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</si>
  <si>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</si>
  <si>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</si>
  <si>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</si>
  <si>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</si>
  <si>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</si>
  <si>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</si>
  <si>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</si>
  <si>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</si>
  <si>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</si>
  <si>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</si>
  <si>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</si>
  <si>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</si>
  <si>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</si>
  <si>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</si>
  <si>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</si>
  <si>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</si>
  <si>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</si>
  <si>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</si>
  <si>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</si>
  <si>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</si>
  <si>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</si>
  <si>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</si>
  <si>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</si>
  <si>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</si>
  <si>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</si>
  <si>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</si>
  <si>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</si>
  <si>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</si>
  <si>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</si>
  <si>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</si>
  <si>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</si>
  <si>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</si>
  <si>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</si>
  <si>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</si>
  <si>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</si>
  <si>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</si>
  <si>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</si>
  <si>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</si>
  <si>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</si>
  <si>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</si>
  <si>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</si>
  <si>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</si>
  <si>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</si>
  <si>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</si>
  <si>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</si>
  <si>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</si>
  <si>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</si>
  <si>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</si>
  <si>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</si>
  <si>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</si>
  <si>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</si>
  <si>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</si>
  <si>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</si>
  <si>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</si>
  <si>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</si>
  <si>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</si>
  <si>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</si>
  <si>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</si>
  <si>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</si>
  <si>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</si>
  <si>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</si>
  <si>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</si>
  <si>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</si>
  <si>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</si>
  <si>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</si>
  <si>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</si>
  <si>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</si>
  <si>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</si>
  <si>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</si>
  <si>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</si>
  <si>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</si>
  <si>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</si>
  <si>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</si>
  <si>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</si>
  <si>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</si>
  <si>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</si>
  <si>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</si>
  <si>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</si>
  <si>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</si>
  <si>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</si>
  <si>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</si>
  <si>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</si>
  <si>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</si>
  <si>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</si>
  <si>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</si>
  <si>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</si>
  <si>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</si>
  <si>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</si>
  <si>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</si>
  <si>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</si>
  <si>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</si>
  <si>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</si>
  <si>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</si>
  <si>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</si>
  <si>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</si>
  <si>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</si>
  <si>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</si>
  <si>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</si>
  <si>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</si>
  <si>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</si>
  <si>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</si>
  <si>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</si>
  <si>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</si>
  <si>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</si>
  <si>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</si>
  <si>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</si>
  <si>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</si>
  <si>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</si>
  <si>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</si>
  <si>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</si>
  <si>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</si>
  <si>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</si>
  <si>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</si>
  <si>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</si>
  <si>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</si>
  <si>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</si>
  <si>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</si>
  <si>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</si>
  <si>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</si>
  <si>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</si>
  <si>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</si>
  <si>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</si>
  <si>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</si>
  <si>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</si>
  <si>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</si>
  <si>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</si>
  <si>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</si>
  <si>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</si>
  <si>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</si>
  <si>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</si>
  <si>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</si>
  <si>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</si>
  <si>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</si>
  <si>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</si>
  <si>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</si>
  <si>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</si>
  <si>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</si>
  <si>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</si>
  <si>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</si>
  <si>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</si>
  <si>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</si>
  <si>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</si>
  <si>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</si>
  <si>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</si>
  <si>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</si>
  <si>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</si>
  <si>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</si>
  <si>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</si>
  <si>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</si>
  <si>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</si>
  <si>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</si>
  <si>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</si>
  <si>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</si>
  <si>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</si>
  <si>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</si>
  <si>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</si>
  <si>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</si>
  <si>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</si>
  <si>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</si>
  <si>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</si>
  <si>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</si>
  <si>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</si>
  <si>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</si>
  <si>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</si>
  <si>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</si>
  <si>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</si>
  <si>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</si>
  <si>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</si>
  <si>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</si>
  <si>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</si>
  <si>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</si>
  <si>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</si>
  <si>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</si>
  <si>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</si>
  <si>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</si>
  <si>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</si>
  <si>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</si>
  <si>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</si>
  <si>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</si>
  <si>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</si>
  <si>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</si>
  <si>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</si>
  <si>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</si>
  <si>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</si>
  <si>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</si>
  <si>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</si>
  <si>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</si>
  <si>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</si>
  <si>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</si>
  <si>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</si>
  <si>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</si>
  <si>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</si>
  <si>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</si>
  <si>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</si>
  <si>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</si>
  <si>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</si>
  <si>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</si>
  <si>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</si>
  <si>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</si>
  <si>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</si>
  <si>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</si>
  <si>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</si>
  <si>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</si>
  <si>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</si>
  <si>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</si>
  <si>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</si>
  <si>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</si>
  <si>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</si>
  <si>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</si>
  <si>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</si>
  <si>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</si>
  <si>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</si>
  <si>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</si>
  <si>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</si>
  <si>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</si>
  <si>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</si>
  <si>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</si>
  <si>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</si>
  <si>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</si>
  <si>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</si>
  <si>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</si>
  <si>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</si>
  <si>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</si>
  <si>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</si>
  <si>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</si>
  <si>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</si>
  <si>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</si>
  <si>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</si>
  <si>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</si>
  <si>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</si>
  <si>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</si>
  <si>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</si>
  <si>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</si>
  <si>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</si>
  <si>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</si>
  <si>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</si>
  <si>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</si>
  <si>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</si>
  <si>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</si>
  <si>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</si>
  <si>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</si>
  <si>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</si>
  <si>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</si>
  <si>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</si>
  <si>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</si>
  <si>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</si>
  <si>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</si>
  <si>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</si>
  <si>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</si>
  <si>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</si>
  <si>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</si>
  <si>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</si>
  <si>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</si>
  <si>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</si>
  <si>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</si>
  <si>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</si>
  <si>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</si>
  <si>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</si>
  <si>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</si>
  <si>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</si>
  <si>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</si>
  <si>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</si>
  <si>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</si>
  <si>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</si>
  <si>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</si>
  <si>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</si>
  <si>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</si>
  <si>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</si>
  <si>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</si>
  <si>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</si>
  <si>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</si>
  <si>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</si>
  <si>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</si>
  <si>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</si>
  <si>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</si>
  <si>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</si>
  <si>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</si>
  <si>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</si>
  <si>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</si>
  <si>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</si>
  <si>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</si>
  <si>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</si>
  <si>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</si>
  <si>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</si>
  <si>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</si>
  <si>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</si>
  <si>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</si>
  <si>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</si>
  <si>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</si>
  <si>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</si>
  <si>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</si>
  <si>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</si>
  <si>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</si>
  <si>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</si>
  <si>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</si>
  <si>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</si>
  <si>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</si>
  <si>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</si>
  <si>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</si>
  <si>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</si>
  <si>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</si>
  <si>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</si>
  <si>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</si>
  <si>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</si>
  <si>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</si>
  <si>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</si>
  <si>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</si>
  <si>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</si>
  <si>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</si>
  <si>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</si>
  <si>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</si>
  <si>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</si>
  <si>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</si>
  <si>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</si>
  <si>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</si>
  <si>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</si>
  <si>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</si>
  <si>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</si>
  <si>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</si>
  <si>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</si>
  <si>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</si>
  <si>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</si>
  <si>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</si>
  <si>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</si>
  <si>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</si>
  <si>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</si>
  <si>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</si>
  <si>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</si>
  <si>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</si>
  <si>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</si>
  <si>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</si>
  <si>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</si>
  <si>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</si>
  <si>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</si>
  <si>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</si>
  <si>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</si>
  <si>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</si>
  <si>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</si>
  <si>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</si>
  <si>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</si>
  <si>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</si>
  <si>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</si>
  <si>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</si>
  <si>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</si>
  <si>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</si>
  <si>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</si>
  <si>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</si>
  <si>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</si>
  <si>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</si>
  <si>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</si>
  <si>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</si>
  <si>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</si>
  <si>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</si>
  <si>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</si>
  <si>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</si>
  <si>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</si>
  <si>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</si>
  <si>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</si>
  <si>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</si>
  <si>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</si>
  <si>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</si>
  <si>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</si>
  <si>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</si>
  <si>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</si>
  <si>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</si>
  <si>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</si>
  <si>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</si>
  <si>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</si>
  <si>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</si>
  <si>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</si>
  <si>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</si>
  <si>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</si>
  <si>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</si>
  <si>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</si>
  <si>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</si>
  <si>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</si>
  <si>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</si>
  <si>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</si>
  <si>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</si>
  <si>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</si>
  <si>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</si>
  <si>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</si>
  <si>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</si>
  <si>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</si>
  <si>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</si>
  <si>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</si>
  <si>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</si>
  <si>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</si>
  <si>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</si>
  <si>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</si>
  <si>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</si>
  <si>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</si>
  <si>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</si>
  <si>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</si>
  <si>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</si>
  <si>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</si>
  <si>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</si>
  <si>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</si>
  <si>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</si>
  <si>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</si>
  <si>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</si>
  <si>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</si>
  <si>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</si>
  <si>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</si>
  <si>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</si>
  <si>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</si>
  <si>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</si>
  <si>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</si>
  <si>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</si>
  <si>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</si>
  <si>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</si>
  <si>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</si>
  <si>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</si>
  <si>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</si>
  <si>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</si>
  <si>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</si>
  <si>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</si>
  <si>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</si>
  <si>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</si>
  <si>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</si>
  <si>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</si>
  <si>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</si>
  <si>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</si>
  <si>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</si>
  <si>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</si>
  <si>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</si>
  <si>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</si>
  <si>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</si>
  <si>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</si>
  <si>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</si>
  <si>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</si>
  <si>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</si>
  <si>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</si>
  <si>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</si>
  <si>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</si>
  <si>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</si>
  <si>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</si>
  <si>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</si>
  <si>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</si>
  <si>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</si>
  <si>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</si>
  <si>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</si>
  <si>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</si>
  <si>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</si>
  <si>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</si>
  <si>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</si>
  <si>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</si>
  <si>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</si>
  <si>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</si>
  <si>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</si>
  <si>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</si>
  <si>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</si>
  <si>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</si>
  <si>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</si>
  <si>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</si>
  <si>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</si>
  <si>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</si>
  <si>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</si>
  <si>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</si>
  <si>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</si>
  <si>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</si>
  <si>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</si>
  <si>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</si>
  <si>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</si>
  <si>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</si>
  <si>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</si>
  <si>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</si>
  <si>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</si>
  <si>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</si>
  <si>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</si>
  <si>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</si>
  <si>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</si>
  <si>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</si>
  <si>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</si>
  <si>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</si>
  <si>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</si>
  <si>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</si>
  <si>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</si>
  <si>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</si>
  <si>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</si>
  <si>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</si>
  <si>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</si>
  <si>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</si>
  <si>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</si>
  <si>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</si>
  <si>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</si>
  <si>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</si>
  <si>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</si>
  <si>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</si>
  <si>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</si>
  <si>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</si>
  <si>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</si>
  <si>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</si>
  <si>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</si>
  <si>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</si>
  <si>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</si>
  <si>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</si>
  <si>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</si>
  <si>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</si>
  <si>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</si>
  <si>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</si>
  <si>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</si>
  <si>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</si>
  <si>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</si>
  <si>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</si>
  <si>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</si>
  <si>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</si>
  <si>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</si>
  <si>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</si>
  <si>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</si>
  <si>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</si>
  <si>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</si>
  <si>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</si>
  <si>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</si>
  <si>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</si>
  <si>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</si>
  <si>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</si>
  <si>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</si>
  <si>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</si>
  <si>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</si>
  <si>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</si>
  <si>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</si>
  <si>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</si>
  <si>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</si>
  <si>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</si>
  <si>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</si>
  <si>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</si>
  <si>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</si>
  <si>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</si>
  <si>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</si>
  <si>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</si>
  <si>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</si>
  <si>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</si>
  <si>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</si>
  <si>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</si>
  <si>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</si>
  <si>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</si>
  <si>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</si>
  <si>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</si>
  <si>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</si>
  <si>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</si>
  <si>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</si>
  <si>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</si>
  <si>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</si>
  <si>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</si>
  <si>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</si>
  <si>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</si>
  <si>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</si>
  <si>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</si>
  <si>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</si>
  <si>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</si>
  <si>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</si>
  <si>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</si>
  <si>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</si>
  <si>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</si>
  <si>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</si>
  <si>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</si>
  <si>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</si>
  <si>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</si>
  <si>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</si>
  <si>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</si>
  <si>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</si>
  <si>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</si>
  <si>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</si>
  <si>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</si>
  <si>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</si>
  <si>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</si>
  <si>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</si>
  <si>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</si>
  <si>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</si>
  <si>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</si>
  <si>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</si>
  <si>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</si>
  <si>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</si>
  <si>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</si>
  <si>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</si>
  <si>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</si>
  <si>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</si>
  <si>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</si>
  <si>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</si>
  <si>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</si>
  <si>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</si>
  <si>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</si>
  <si>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</si>
  <si>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</si>
  <si>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</si>
  <si>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</si>
  <si>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</si>
  <si>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</si>
  <si>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</si>
  <si>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</si>
  <si>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</si>
  <si>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</si>
  <si>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</si>
  <si>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</si>
  <si>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</si>
  <si>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</si>
  <si>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</si>
  <si>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</si>
  <si>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</si>
  <si>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</si>
  <si>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</si>
  <si>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</si>
  <si>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</si>
  <si>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</si>
  <si>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</si>
  <si>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</si>
  <si>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</si>
  <si>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</si>
  <si>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</si>
  <si>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</si>
  <si>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</si>
  <si>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</si>
  <si>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</si>
  <si>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</si>
  <si>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</si>
  <si>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</si>
  <si>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</si>
  <si>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</si>
  <si>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</si>
  <si>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</si>
  <si>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</si>
  <si>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</si>
  <si>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</si>
  <si>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</si>
  <si>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</si>
  <si>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</si>
  <si>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</si>
  <si>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</si>
  <si>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</si>
  <si>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</si>
  <si>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</si>
  <si>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</si>
  <si>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</si>
  <si>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</si>
  <si>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</si>
  <si>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</si>
  <si>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</si>
  <si>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</si>
  <si>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</si>
  <si>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</si>
  <si>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</si>
  <si>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</si>
  <si>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</si>
  <si>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</si>
  <si>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</si>
  <si>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</si>
  <si>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</si>
  <si>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</si>
  <si>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</si>
  <si>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</si>
  <si>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</si>
  <si>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</si>
  <si>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</si>
  <si>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</si>
  <si>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</si>
  <si>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</si>
  <si>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</si>
  <si>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</si>
  <si>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</si>
  <si>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</si>
  <si>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</si>
  <si>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</si>
  <si>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</si>
  <si>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</si>
  <si>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</si>
  <si>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</si>
  <si>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</si>
  <si>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</si>
  <si>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</si>
  <si>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</si>
  <si>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</si>
  <si>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</si>
  <si>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</si>
  <si>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</si>
  <si>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</si>
  <si>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</si>
  <si>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</si>
  <si>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</si>
  <si>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</si>
  <si>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</si>
  <si>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</si>
  <si>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</si>
  <si>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</si>
  <si>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</si>
  <si>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</si>
  <si>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</si>
  <si>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</si>
  <si>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</si>
  <si>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</si>
  <si>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</si>
  <si>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</si>
  <si>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</si>
  <si>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</si>
  <si>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</si>
  <si>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</si>
  <si>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</si>
  <si>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</si>
  <si>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</si>
  <si>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</si>
  <si>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</si>
  <si>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</si>
  <si>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</si>
  <si>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</si>
  <si>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</si>
  <si>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</si>
  <si>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</si>
  <si>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</si>
  <si>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</si>
  <si>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</si>
  <si>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</si>
  <si>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</si>
  <si>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</si>
  <si>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</si>
  <si>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</si>
  <si>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</si>
  <si>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</si>
  <si>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</si>
  <si>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</si>
  <si>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</si>
  <si>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</si>
  <si>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</si>
  <si>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</si>
  <si>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</si>
  <si>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</si>
  <si>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</si>
  <si>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</si>
  <si>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</si>
  <si>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</si>
  <si>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</si>
  <si>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</si>
  <si>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</si>
  <si>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</si>
  <si>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</si>
  <si>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</si>
  <si>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</si>
  <si>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</si>
  <si>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</si>
  <si>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</si>
  <si>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</si>
  <si>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</si>
  <si>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</si>
  <si>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</si>
  <si>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</si>
  <si>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</si>
  <si>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</si>
  <si>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</si>
  <si>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</si>
  <si>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</si>
  <si>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</si>
  <si>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</si>
  <si>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</si>
  <si>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</si>
  <si>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</si>
  <si>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</si>
  <si>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</si>
  <si>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</si>
  <si>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</si>
  <si>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</si>
  <si>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</si>
  <si>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</si>
  <si>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</si>
  <si>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</si>
  <si>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</si>
  <si>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</si>
  <si>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</si>
  <si>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</si>
  <si>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</si>
  <si>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</si>
  <si>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</si>
  <si>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</si>
  <si>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</si>
  <si>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</si>
  <si>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</si>
  <si>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</si>
  <si>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</si>
  <si>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</si>
  <si>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</si>
  <si>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</si>
  <si>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</si>
  <si>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</si>
  <si>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</si>
  <si>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</si>
  <si>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</si>
  <si>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</si>
  <si>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</si>
  <si>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</si>
  <si>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</si>
  <si>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</si>
  <si>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</si>
  <si>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</si>
  <si>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</si>
  <si>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</si>
  <si>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</si>
  <si>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</si>
  <si>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</si>
  <si>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</si>
  <si>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</si>
  <si>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</si>
  <si>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</si>
  <si>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</si>
  <si>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</si>
  <si>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</si>
  <si>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</si>
  <si>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</si>
  <si>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</si>
  <si>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</si>
  <si>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</si>
  <si>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</si>
  <si>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</si>
  <si>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</si>
  <si>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</si>
  <si>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</si>
  <si>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</si>
  <si>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</si>
  <si>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</si>
  <si>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</si>
  <si>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</si>
  <si>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</si>
  <si>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</si>
  <si>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</si>
  <si>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</si>
  <si>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</si>
  <si>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</si>
  <si>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</si>
  <si>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</si>
  <si>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</si>
  <si>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</si>
  <si>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</si>
  <si>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</si>
  <si>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</si>
  <si>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</si>
  <si>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</si>
  <si>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</si>
  <si>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</si>
  <si>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</si>
  <si>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</si>
  <si>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</si>
  <si>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</si>
  <si>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</si>
  <si>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</si>
  <si>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</si>
  <si>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</si>
  <si>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</si>
  <si>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</si>
  <si>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</si>
  <si>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</si>
  <si>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</si>
  <si>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</si>
  <si>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</si>
  <si>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</si>
  <si>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</si>
  <si>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</si>
  <si>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</si>
  <si>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</si>
  <si>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</si>
  <si>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</si>
  <si>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</si>
  <si>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</si>
  <si>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</si>
  <si>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</si>
  <si>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</si>
  <si>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</si>
  <si>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</si>
  <si>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</si>
  <si>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</si>
  <si>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</si>
  <si>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</si>
  <si>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</si>
  <si>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</si>
  <si>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</si>
  <si>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</si>
  <si>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</si>
  <si>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</si>
  <si>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</si>
  <si>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</si>
  <si>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</si>
  <si>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</si>
  <si>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</si>
  <si>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</si>
  <si>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</si>
  <si>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</si>
  <si>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</si>
  <si>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</si>
  <si>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</si>
  <si>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</si>
  <si>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</si>
  <si>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</si>
  <si>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</si>
  <si>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</si>
  <si>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</si>
  <si>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</si>
  <si>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</si>
  <si>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</si>
  <si>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</si>
  <si>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</si>
  <si>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</si>
  <si>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</si>
  <si>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</si>
  <si>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</si>
  <si>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</si>
  <si>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</si>
  <si>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</si>
  <si>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</si>
  <si>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</si>
  <si>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</si>
  <si>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</si>
  <si>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</si>
  <si>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</si>
  <si>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</si>
  <si>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</si>
  <si>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</si>
  <si>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</si>
  <si>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</si>
  <si>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</si>
  <si>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</si>
  <si>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</si>
  <si>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</si>
  <si>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</si>
  <si>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</si>
  <si>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</si>
  <si>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</si>
  <si>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</si>
  <si>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</si>
  <si>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</si>
  <si>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</si>
  <si>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</si>
  <si>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</si>
  <si>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</si>
  <si>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</si>
  <si>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</si>
  <si>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</si>
  <si>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</si>
  <si>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</si>
  <si>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</si>
  <si>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</si>
  <si>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</si>
  <si>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</si>
  <si>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</si>
  <si>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</si>
  <si>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</si>
  <si>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</si>
  <si>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</si>
  <si>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</si>
  <si>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</si>
  <si>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</si>
  <si>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</si>
  <si>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</si>
  <si>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</si>
  <si>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</si>
  <si>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</si>
  <si>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</si>
  <si>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</si>
  <si>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</si>
  <si>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</si>
  <si>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</si>
  <si>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</si>
  <si>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</si>
  <si>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</si>
  <si>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</si>
  <si>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</si>
  <si>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</si>
  <si>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</si>
  <si>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</si>
  <si>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</si>
  <si>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</si>
  <si>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</si>
  <si>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</si>
  <si>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</si>
  <si>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</si>
  <si>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</si>
  <si>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</si>
  <si>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</si>
  <si>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</si>
  <si>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</si>
  <si>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A. Corbarieu</t>
  </si>
  <si>
    <t xml:space="preserve">conforme AFNOR T90-395 oct. 2003</t>
  </si>
  <si>
    <t xml:space="preserve">Casaluna</t>
  </si>
  <si>
    <t xml:space="preserve">Gavignano</t>
  </si>
  <si>
    <t xml:space="preserve">06213400</t>
  </si>
  <si>
    <t xml:space="preserve">7178c -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</si>
  <si>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</si>
  <si>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</si>
  <si>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</si>
  <si>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</si>
  <si>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</si>
  <si>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</si>
  <si>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</si>
  <si>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</si>
  <si>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</si>
  <si>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</si>
  <si>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</si>
  <si>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</si>
  <si>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</si>
  <si>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</si>
  <si>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</si>
  <si>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</si>
  <si>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</si>
  <si>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</si>
  <si>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</si>
  <si>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</si>
  <si>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</si>
  <si>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</si>
  <si>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</si>
  <si>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</si>
  <si>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</si>
  <si>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</si>
  <si>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</si>
  <si>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</si>
  <si>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</si>
  <si>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</si>
  <si>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</si>
  <si>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</si>
  <si>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</si>
  <si>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</si>
  <si>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</si>
  <si>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</si>
  <si>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</si>
  <si>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</si>
  <si>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</si>
  <si>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</si>
  <si>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</si>
  <si>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</si>
  <si>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</si>
  <si>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</si>
  <si>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</si>
  <si>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</si>
  <si>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</si>
  <si>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</si>
  <si>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</si>
  <si>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</si>
  <si>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(0,3564 %)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</si>
  <si>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</si>
  <si>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</si>
  <si>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</si>
  <si>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</si>
  <si>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</si>
  <si>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</si>
  <si>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</si>
  <si>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</si>
  <si>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</si>
  <si>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</si>
  <si>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</si>
  <si>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</si>
  <si>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</si>
  <si>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</si>
  <si>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</si>
  <si>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</si>
  <si>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</si>
  <si>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</si>
  <si>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</si>
  <si>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</si>
  <si>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Potentilla reptans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</si>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</sst>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41806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12.4166666666667</v>
      </c>
      <c r="M5" s="323"/>
      <c r="N5" s="324" t="s">
        <v>764</v>
      </c>
      <c r="O5" s="325" t="n">
        <v>11.6190476190476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88</v>
      </c>
      <c r="C7" s="337" t="n">
        <v>12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10.1176470588235</v>
      </c>
      <c r="O8" s="354" t="n">
        <f aca="false">IF(ISERROR(AVERAGE(J23:J82)),"      -",AVERAGE(J23:J82))</f>
        <v>1.35294117647059</v>
      </c>
      <c r="P8" s="355"/>
      <c r="Q8" s="280"/>
      <c r="R8" s="280"/>
      <c r="S8" s="280"/>
      <c r="T8" s="280"/>
      <c r="U8" s="280"/>
      <c r="V8" s="280"/>
      <c r="W8" s="292"/>
      <c r="X8" s="293"/>
    </row>
    <row r="9" customFormat="false" ht="13.5" hidden="false" customHeight="false" outlineLevel="0" collapsed="false">
      <c r="A9" s="313" t="s">
        <v>2635</v>
      </c>
      <c r="B9" s="356" t="n">
        <v>0.35</v>
      </c>
      <c r="C9" s="357" t="n">
        <v>0.35</v>
      </c>
      <c r="D9" s="358"/>
      <c r="E9" s="358"/>
      <c r="F9" s="359" t="n">
        <f aca="false">($B9*$B$7+$C9*$C$7)/100</f>
        <v>0.35</v>
      </c>
      <c r="G9" s="360"/>
      <c r="H9" s="361"/>
      <c r="I9" s="362"/>
      <c r="J9" s="363"/>
      <c r="K9" s="343"/>
      <c r="L9" s="364"/>
      <c r="M9" s="353" t="s">
        <v>2636</v>
      </c>
      <c r="N9" s="354" t="n">
        <f aca="false">IF(ISERROR(STDEVP(I23:I82)),"     -",STDEVP(I23:I82))</f>
        <v>4.90956273290949</v>
      </c>
      <c r="O9" s="354" t="n">
        <f aca="false">IF(ISERROR(STDEVP(J23:J82)),"      -",STDEVP(J23:J82))</f>
        <v>0.836039435503053</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10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2</v>
      </c>
      <c r="L13" s="386"/>
      <c r="M13" s="397" t="s">
        <v>2649</v>
      </c>
      <c r="N13" s="398" t="n">
        <f aca="false">COUNTIF(F23:F82,"&gt;0")</f>
        <v>18</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17</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4</v>
      </c>
      <c r="L15" s="386"/>
      <c r="M15" s="407" t="s">
        <v>2655</v>
      </c>
      <c r="N15" s="408" t="n">
        <f aca="false">COUNTIF(J23:J82,"=1")</f>
        <v>9</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4</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0.36</v>
      </c>
      <c r="C20" s="436" t="n">
        <f aca="false">SUM(C23:C82)</f>
        <v>0.33</v>
      </c>
      <c r="D20" s="437"/>
      <c r="E20" s="438" t="s">
        <v>2661</v>
      </c>
      <c r="F20" s="439" t="n">
        <f aca="false">($B20*$B$7+$C20*$C$7)/100</f>
        <v>0.3564</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0.3168</v>
      </c>
      <c r="C21" s="449" t="n">
        <f aca="false">C20*C7/100</f>
        <v>0.0396</v>
      </c>
      <c r="D21" s="381" t="str">
        <f aca="false">IF(F21=0,"",IF((ABS(F21-F19))&gt;(0.2*F21),CONCATENATE(" rec. par taxa (",F21," %) supérieur à 20 % !"),""))</f>
        <v> rec. par taxa (0,3564 %) supérieur à 20 % !</v>
      </c>
      <c r="E21" s="450" t="str">
        <f aca="false">IF(F21=0,"",IF((ABS(F21-F19))&gt;(0.2*F21),CONCATENATE("ATTENTION : écart entre rec. par grp (",F19," %) ","et",""),""))</f>
        <v>ATTENTION : écart entre rec. par grp (0 %) et</v>
      </c>
      <c r="F21" s="451" t="n">
        <f aca="false">B21+C21</f>
        <v>0.3564</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0.2</v>
      </c>
      <c r="C23" s="476" t="n">
        <v>0.15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0.194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0.194</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142</v>
      </c>
      <c r="B24" s="494" t="n">
        <v>0.005</v>
      </c>
      <c r="C24" s="495"/>
      <c r="D24" s="477" t="str">
        <f aca="false">IF(ISERROR(VLOOKUP($A24,'liste reference'!$A$7:$D$904,2,0)),IF(ISERROR(VLOOKUP($A24,'liste reference'!$B$7:$D$904,1,0)),"",VLOOKUP($A24,'liste reference'!$B$7:$D$904,1,0)),VLOOKUP($A24,'liste reference'!$A$7:$D$904,2,0))</f>
        <v>Hildenbrandia sp.</v>
      </c>
      <c r="E24" s="496" t="e">
        <f aca="false">IF(D24="",0,VLOOKUP(D24,D$22:D23,1,0))</f>
        <v>#N/A</v>
      </c>
      <c r="F24" s="497" t="n">
        <f aca="false">($B24*$B$7+$C24*$C$7)/100</f>
        <v>0.0044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Hildenbrandia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1157</v>
      </c>
      <c r="Q24" s="486" t="n">
        <f aca="false">IF(ISTEXT(H24),"",(B24*$B$7/100)+(C24*$C$7/100))</f>
        <v>0.0044</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HILSPX</v>
      </c>
      <c r="Z24" s="280" t="n">
        <f aca="false">IF(ISERROR(MATCH(A24,'liste reference'!$A$8:$A$904,0)),IF(ISERROR(MATCH(A24,'liste reference'!$B$8:$B$904,0)),"",(MATCH(A24,'liste reference'!$B$8:$B$904,0))),(MATCH(A24,'liste reference'!$A$8:$A$904,0)))</f>
        <v>30</v>
      </c>
      <c r="AA24" s="491"/>
      <c r="AB24" s="492"/>
      <c r="AC24" s="492"/>
      <c r="BB24" s="280" t="n">
        <f aca="false">IF(A24="","",1)</f>
        <v>1</v>
      </c>
    </row>
    <row r="25" customFormat="false" ht="12.75" hidden="false" customHeight="false" outlineLevel="0" collapsed="false">
      <c r="A25" s="493" t="s">
        <v>154</v>
      </c>
      <c r="B25" s="494" t="n">
        <v>0.01</v>
      </c>
      <c r="C25" s="495"/>
      <c r="D25" s="477" t="str">
        <f aca="false">IF(ISERROR(VLOOKUP($A25,'liste reference'!$A$7:$D$904,2,0)),IF(ISERROR(VLOOKUP($A25,'liste reference'!$B$7:$D$904,1,0)),"",VLOOKUP($A25,'liste reference'!$B$7:$D$904,1,0)),VLOOKUP($A25,'liste reference'!$A$7:$D$904,2,0))</f>
        <v>Lemanea sp.</v>
      </c>
      <c r="E25" s="496" t="e">
        <f aca="false">IF(D25="",0,VLOOKUP(D25,D$22:D24,1,0))</f>
        <v>#N/A</v>
      </c>
      <c r="F25" s="497" t="n">
        <f aca="false">($B25*$B$7+$C25*$C$7)/100</f>
        <v>0.0088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Lemanea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1159</v>
      </c>
      <c r="Q25" s="486" t="n">
        <f aca="false">IF(ISTEXT(H25),"",(B25*$B$7/100)+(C25*$C$7/100))</f>
        <v>0.0088</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LEASPX</v>
      </c>
      <c r="Z25" s="280" t="n">
        <f aca="false">IF(ISERROR(MATCH(A25,'liste reference'!$A$8:$A$904,0)),IF(ISERROR(MATCH(A25,'liste reference'!$B$8:$B$904,0)),"",(MATCH(A25,'liste reference'!$B$8:$B$904,0))),(MATCH(A25,'liste reference'!$A$8:$A$904,0)))</f>
        <v>34</v>
      </c>
      <c r="AA25" s="491"/>
      <c r="AB25" s="492"/>
      <c r="AC25" s="492"/>
      <c r="BB25" s="280" t="n">
        <f aca="false">IF(A25="","",1)</f>
        <v>1</v>
      </c>
    </row>
    <row r="26" customFormat="false" ht="12.75" hidden="false" customHeight="false" outlineLevel="0" collapsed="false">
      <c r="A26" s="493" t="s">
        <v>160</v>
      </c>
      <c r="B26" s="494" t="n">
        <v>0.005</v>
      </c>
      <c r="C26" s="495" t="n">
        <v>0.05</v>
      </c>
      <c r="D26" s="477" t="str">
        <f aca="false">IF(ISERROR(VLOOKUP($A26,'liste reference'!$A$7:$D$904,2,0)),IF(ISERROR(VLOOKUP($A26,'liste reference'!$B$7:$D$904,1,0)),"",VLOOKUP($A26,'liste reference'!$B$7:$D$904,1,0)),VLOOKUP($A26,'liste reference'!$A$7:$D$904,2,0))</f>
        <v>Melosira sp.</v>
      </c>
      <c r="E26" s="496" t="e">
        <f aca="false">IF(D26="",0,VLOOKUP(D26,D$22:D25,1,0))</f>
        <v>#N/A</v>
      </c>
      <c r="F26" s="497" t="n">
        <f aca="false">($B26*$B$7+$C26*$C$7)/100</f>
        <v>0.0104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Melosira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8714</v>
      </c>
      <c r="Q26" s="486" t="n">
        <f aca="false">IF(ISTEXT(H26),"",(B26*$B$7/100)+(C26*$C$7/100))</f>
        <v>0.0104</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MELSPX</v>
      </c>
      <c r="Z26" s="280" t="n">
        <f aca="false">IF(ISERROR(MATCH(A26,'liste reference'!$A$8:$A$904,0)),IF(ISERROR(MATCH(A26,'liste reference'!$B$8:$B$904,0)),"",(MATCH(A26,'liste reference'!$B$8:$B$904,0))),(MATCH(A26,'liste reference'!$A$8:$A$904,0)))</f>
        <v>36</v>
      </c>
      <c r="AA26" s="491"/>
      <c r="AB26" s="492"/>
      <c r="AC26" s="492"/>
      <c r="BB26" s="280" t="n">
        <f aca="false">IF(A26="","",1)</f>
        <v>1</v>
      </c>
    </row>
    <row r="27" customFormat="false" ht="12.75" hidden="false" customHeight="false" outlineLevel="0" collapsed="false">
      <c r="A27" s="493" t="s">
        <v>220</v>
      </c>
      <c r="B27" s="494" t="n">
        <v>0.005</v>
      </c>
      <c r="C27" s="495"/>
      <c r="D27" s="477" t="str">
        <f aca="false">IF(ISERROR(VLOOKUP($A27,'liste reference'!$A$7:$D$904,2,0)),IF(ISERROR(VLOOKUP($A27,'liste reference'!$B$7:$D$904,1,0)),"",VLOOKUP($A27,'liste reference'!$B$7:$D$904,1,0)),VLOOKUP($A27,'liste reference'!$A$7:$D$904,2,0))</f>
        <v>Nostoc sp.</v>
      </c>
      <c r="E27" s="496" t="e">
        <f aca="false">IF(D27="",0,VLOOKUP(D27,D$22:D26,1,0))</f>
        <v>#N/A</v>
      </c>
      <c r="F27" s="497" t="n">
        <f aca="false">($B27*$B$7+$C27*$C$7)/100</f>
        <v>0.0044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0.0044</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228</v>
      </c>
      <c r="B28" s="494" t="n">
        <v>0.005</v>
      </c>
      <c r="C28" s="495" t="n">
        <v>0.005</v>
      </c>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t="s">
        <v>2686</v>
      </c>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0.005</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t="s">
        <v>2686</v>
      </c>
      <c r="AB28" s="492"/>
      <c r="AC28" s="492"/>
      <c r="BB28" s="280" t="n">
        <f aca="false">IF(A28="","",1)</f>
        <v>1</v>
      </c>
    </row>
    <row r="29" customFormat="false" ht="12.75" hidden="false" customHeight="false" outlineLevel="0" collapsed="false">
      <c r="A29" s="493" t="s">
        <v>258</v>
      </c>
      <c r="B29" s="494" t="n">
        <v>0.005</v>
      </c>
      <c r="C29" s="495"/>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0.0044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0.0044</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263</v>
      </c>
      <c r="B30" s="494" t="n">
        <v>0.005</v>
      </c>
      <c r="C30" s="495"/>
      <c r="D30" s="477" t="str">
        <f aca="false">IF(ISERROR(VLOOKUP($A30,'liste reference'!$A$7:$D$904,2,0)),IF(ISERROR(VLOOKUP($A30,'liste reference'!$B$7:$D$904,1,0)),"",VLOOKUP($A30,'liste reference'!$B$7:$D$904,1,0)),VLOOKUP($A30,'liste reference'!$A$7:$D$904,2,0))</f>
        <v>Stigeoclonium sp.</v>
      </c>
      <c r="E30" s="496" t="e">
        <f aca="false">IF(D30="",0,VLOOKUP(D30,D$22:D29,1,0))</f>
        <v>#N/A</v>
      </c>
      <c r="F30" s="497" t="n">
        <f aca="false">($B30*$B$7+$C30*$C$7)/100</f>
        <v>0.0044</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Stigeoclonium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1119</v>
      </c>
      <c r="Q30" s="486" t="n">
        <f aca="false">IF(ISTEXT(H30),"",(B30*$B$7/100)+(C30*$C$7/100))</f>
        <v>0.0044</v>
      </c>
      <c r="R30" s="487" t="n">
        <f aca="false">IF(OR(ISTEXT(H30),Q30=0),"",IF(Q30&lt;0.1,1,IF(Q30&lt;1,2,IF(Q30&lt;10,3,IF(Q30&lt;50,4,IF(Q30&gt;=50,5,""))))))</f>
        <v>1</v>
      </c>
      <c r="S30" s="487" t="n">
        <f aca="false">IF(ISERROR(R30*I30),0,R30*I30)</f>
        <v>13</v>
      </c>
      <c r="T30" s="487" t="n">
        <f aca="false">IF(ISERROR(R30*I30*J30),0,R30*I30*J30)</f>
        <v>26</v>
      </c>
      <c r="U30" s="499" t="n">
        <f aca="false">IF(ISERROR(R30*J30),0,R30*J30)</f>
        <v>2</v>
      </c>
      <c r="V30" s="488" t="str">
        <f aca="false">IF(AND(A30="",F30=0),"",IF(F30=0,"Il manque le(s) % de rec. !",""))</f>
        <v/>
      </c>
      <c r="W30" s="489"/>
      <c r="Y30" s="490" t="str">
        <f aca="false">IF(A30="new.cod","NEWCOD",IF(AND((Z30=""),ISTEXT(A30)),A30,IF(Z30="","",INDEX('liste reference'!$A$8:$A$904,Z30))))</f>
        <v>STISPX</v>
      </c>
      <c r="Z30" s="280" t="n">
        <f aca="false">IF(ISERROR(MATCH(A30,'liste reference'!$A$8:$A$904,0)),IF(ISERROR(MATCH(A30,'liste reference'!$B$8:$B$904,0)),"",(MATCH(A30,'liste reference'!$B$8:$B$904,0))),(MATCH(A30,'liste reference'!$A$8:$A$904,0)))</f>
        <v>71</v>
      </c>
      <c r="AA30" s="491"/>
      <c r="AB30" s="492"/>
      <c r="AC30" s="492"/>
      <c r="BB30" s="280" t="n">
        <f aca="false">IF(A30="","",1)</f>
        <v>1</v>
      </c>
    </row>
    <row r="31" customFormat="false" ht="12.75" hidden="false" customHeight="false" outlineLevel="0" collapsed="false">
      <c r="A31" s="493" t="s">
        <v>270</v>
      </c>
      <c r="B31" s="494" t="n">
        <v>0.005</v>
      </c>
      <c r="C31" s="495"/>
      <c r="D31" s="477" t="str">
        <f aca="false">IF(ISERROR(VLOOKUP($A31,'liste reference'!$A$7:$D$904,2,0)),IF(ISERROR(VLOOKUP($A31,'liste reference'!$B$7:$D$904,1,0)),"",VLOOKUP($A31,'liste reference'!$B$7:$D$904,1,0)),VLOOKUP($A31,'liste reference'!$A$7:$D$904,2,0))</f>
        <v>Tetraspora sp.</v>
      </c>
      <c r="E31" s="496" t="e">
        <f aca="false">IF(D31="",0,VLOOKUP(D31,D$22:D30,1,0))</f>
        <v>#N/A</v>
      </c>
      <c r="F31" s="497" t="n">
        <f aca="false">($B31*$B$7+$C31*$C$7)/100</f>
        <v>0.0044</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Tetraspora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1138</v>
      </c>
      <c r="Q31" s="486" t="n">
        <f aca="false">IF(ISTEXT(H31),"",(B31*$B$7/100)+(C31*$C$7/100))</f>
        <v>0.0044</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TETSPX</v>
      </c>
      <c r="Z31" s="280" t="n">
        <f aca="false">IF(ISERROR(MATCH(A31,'liste reference'!$A$8:$A$904,0)),IF(ISERROR(MATCH(A31,'liste reference'!$B$8:$B$904,0)),"",(MATCH(A31,'liste reference'!$B$8:$B$904,0))),(MATCH(A31,'liste reference'!$A$8:$A$904,0)))</f>
        <v>73</v>
      </c>
      <c r="AA31" s="491"/>
      <c r="AB31" s="492"/>
      <c r="AC31" s="492"/>
      <c r="BB31" s="280" t="n">
        <f aca="false">IF(A31="","",1)</f>
        <v>1</v>
      </c>
    </row>
    <row r="32" customFormat="false" ht="12.75" hidden="false" customHeight="false" outlineLevel="0" collapsed="false">
      <c r="A32" s="493" t="s">
        <v>301</v>
      </c>
      <c r="B32" s="494" t="n">
        <v>0.005</v>
      </c>
      <c r="C32" s="495"/>
      <c r="D32" s="477" t="str">
        <f aca="false">IF(ISERROR(VLOOKUP($A32,'liste reference'!$A$7:$D$904,2,0)),IF(ISERROR(VLOOKUP($A32,'liste reference'!$B$7:$D$904,1,0)),"",VLOOKUP($A32,'liste reference'!$B$7:$D$904,1,0)),VLOOKUP($A32,'liste reference'!$A$7:$D$904,2,0))</f>
        <v>Vaucheria sp.</v>
      </c>
      <c r="E32" s="496" t="e">
        <f aca="false">IF(D32="",0,VLOOKUP(D32,D$22:D31,1,0))</f>
        <v>#N/A</v>
      </c>
      <c r="F32" s="497" t="n">
        <f aca="false">($B32*$B$7+$C32*$C$7)/100</f>
        <v>0.0044</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6193</v>
      </c>
      <c r="Q32" s="486" t="n">
        <f aca="false">IF(ISTEXT(H32),"",(B32*$B$7/100)+(C32*$C$7/100))</f>
        <v>0.0044</v>
      </c>
      <c r="R32" s="487" t="n">
        <f aca="false">IF(OR(ISTEXT(H32),Q32=0),"",IF(Q32&lt;0.1,1,IF(Q32&lt;1,2,IF(Q32&lt;10,3,IF(Q32&lt;50,4,IF(Q32&gt;=50,5,""))))))</f>
        <v>1</v>
      </c>
      <c r="S32" s="487" t="n">
        <f aca="false">IF(ISERROR(R32*I32),0,R32*I32)</f>
        <v>4</v>
      </c>
      <c r="T32" s="487" t="n">
        <f aca="false">IF(ISERROR(R32*I32*J32),0,R32*I32*J32)</f>
        <v>4</v>
      </c>
      <c r="U32" s="499" t="n">
        <f aca="false">IF(ISERROR(R32*J32),0,R32*J32)</f>
        <v>1</v>
      </c>
      <c r="V32" s="488" t="str">
        <f aca="false">IF(AND(A32="",F32=0),"",IF(F32=0,"Il manque le(s) % de rec. !",""))</f>
        <v/>
      </c>
      <c r="W32" s="489"/>
      <c r="Y32" s="490" t="str">
        <f aca="false">IF(A32="new.cod","NEWCOD",IF(AND((Z32=""),ISTEXT(A32)),A32,IF(Z32="","",INDEX('liste reference'!$A$8:$A$904,Z32))))</f>
        <v>VAUSPX</v>
      </c>
      <c r="Z32" s="280" t="n">
        <f aca="false">IF(ISERROR(MATCH(A32,'liste reference'!$A$8:$A$904,0)),IF(ISERROR(MATCH(A32,'liste reference'!$B$8:$B$904,0)),"",(MATCH(A32,'liste reference'!$B$8:$B$904,0))),(MATCH(A32,'liste reference'!$A$8:$A$904,0)))</f>
        <v>82</v>
      </c>
      <c r="AA32" s="491"/>
      <c r="AB32" s="492"/>
      <c r="AC32" s="492"/>
      <c r="BB32" s="280" t="n">
        <f aca="false">IF(A32="","",1)</f>
        <v>1</v>
      </c>
    </row>
    <row r="33" customFormat="false" ht="12.75" hidden="false" customHeight="false" outlineLevel="0" collapsed="false">
      <c r="A33" s="493" t="s">
        <v>764</v>
      </c>
      <c r="B33" s="494" t="n">
        <v>0.005</v>
      </c>
      <c r="C33" s="495"/>
      <c r="D33" s="477" t="str">
        <f aca="false">IF(ISERROR(VLOOKUP($A33,'liste reference'!$A$7:$D$904,2,0)),IF(ISERROR(VLOOKUP($A33,'liste reference'!$B$7:$D$904,1,0)),"",VLOOKUP($A33,'liste reference'!$B$7:$D$904,1,0)),VLOOKUP($A33,'liste reference'!$A$7:$D$904,2,0))</f>
        <v>Cratoneuron filicinum</v>
      </c>
      <c r="E33" s="496" t="e">
        <f aca="false">IF(D33="",0,VLOOKUP(D33,D$22:D32,1,0))</f>
        <v>#N/A</v>
      </c>
      <c r="F33" s="497" t="n">
        <f aca="false">($B33*$B$7+$C33*$C$7)/100</f>
        <v>0.0044</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18</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Cratoneuron filicinum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1233</v>
      </c>
      <c r="Q33" s="486" t="n">
        <f aca="false">IF(ISTEXT(H33),"",(B33*$B$7/100)+(C33*$C$7/100))</f>
        <v>0.0044</v>
      </c>
      <c r="R33" s="487" t="n">
        <f aca="false">IF(OR(ISTEXT(H33),Q33=0),"",IF(Q33&lt;0.1,1,IF(Q33&lt;1,2,IF(Q33&lt;10,3,IF(Q33&lt;50,4,IF(Q33&gt;=50,5,""))))))</f>
        <v>1</v>
      </c>
      <c r="S33" s="487" t="n">
        <f aca="false">IF(ISERROR(R33*I33),0,R33*I33)</f>
        <v>18</v>
      </c>
      <c r="T33" s="487" t="n">
        <f aca="false">IF(ISERROR(R33*I33*J33),0,R33*I33*J33)</f>
        <v>54</v>
      </c>
      <c r="U33" s="499" t="n">
        <f aca="false">IF(ISERROR(R33*J33),0,R33*J33)</f>
        <v>3</v>
      </c>
      <c r="V33" s="488" t="str">
        <f aca="false">IF(AND(A33="",F33=0),"",IF(F33=0,"Il manque le(s) % de rec. !",""))</f>
        <v/>
      </c>
      <c r="W33" s="489"/>
      <c r="Y33" s="490" t="str">
        <f aca="false">IF(A33="new.cod","NEWCOD",IF(AND((Z33=""),ISTEXT(A33)),A33,IF(Z33="","",INDEX('liste reference'!$A$8:$A$904,Z33))))</f>
        <v>CRAFIL</v>
      </c>
      <c r="Z33" s="280" t="n">
        <f aca="false">IF(ISERROR(MATCH(A33,'liste reference'!$A$8:$A$904,0)),IF(ISERROR(MATCH(A33,'liste reference'!$B$8:$B$904,0)),"",(MATCH(A33,'liste reference'!$B$8:$B$904,0))),(MATCH(A33,'liste reference'!$A$8:$A$904,0)))</f>
        <v>178</v>
      </c>
      <c r="AA33" s="491"/>
      <c r="AB33" s="492"/>
      <c r="AC33" s="492"/>
      <c r="BB33" s="280" t="n">
        <f aca="false">IF(A33="","",1)</f>
        <v>1</v>
      </c>
    </row>
    <row r="34" customFormat="false" ht="12.75" hidden="false" customHeight="false" outlineLevel="0" collapsed="false">
      <c r="A34" s="493" t="s">
        <v>910</v>
      </c>
      <c r="B34" s="494" t="n">
        <v>0.01</v>
      </c>
      <c r="C34" s="495" t="n">
        <v>0.01</v>
      </c>
      <c r="D34" s="477" t="str">
        <f aca="false">IF(ISERROR(VLOOKUP($A34,'liste reference'!$A$7:$D$904,2,0)),IF(ISERROR(VLOOKUP($A34,'liste reference'!$B$7:$D$904,1,0)),"",VLOOKUP($A34,'liste reference'!$B$7:$D$904,1,0)),VLOOKUP($A34,'liste reference'!$A$7:$D$904,2,0))</f>
        <v>Fontinalis hypnoides var. duriaei</v>
      </c>
      <c r="E34" s="496" t="e">
        <f aca="false">IF(D34="",0,VLOOKUP(D34,D$22:D33,1,0))</f>
        <v>#N/A</v>
      </c>
      <c r="F34" s="500" t="n">
        <f aca="false">($B34*$B$7+$C34*$C$7)/100</f>
        <v>0.01</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hypnoides var. duriaei</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10215</v>
      </c>
      <c r="Q34" s="486" t="n">
        <f aca="false">IF(ISTEXT(H34),"",(B34*$B$7/100)+(C34*$C$7/100))</f>
        <v>0.01</v>
      </c>
      <c r="R34" s="487" t="n">
        <f aca="false">IF(OR(ISTEXT(H34),Q34=0),"",IF(Q34&lt;0.1,1,IF(Q34&lt;1,2,IF(Q34&lt;10,3,IF(Q34&lt;50,4,IF(Q34&gt;=50,5,""))))))</f>
        <v>1</v>
      </c>
      <c r="S34" s="487" t="n">
        <f aca="false">IF(ISERROR(R34*I34),0,R34*I34)</f>
        <v>14</v>
      </c>
      <c r="T34" s="487" t="n">
        <f aca="false">IF(ISERROR(R34*I34*J34),0,R34*I34*J34)</f>
        <v>42</v>
      </c>
      <c r="U34" s="499" t="n">
        <f aca="false">IF(ISERROR(R34*J34),0,R34*J34)</f>
        <v>3</v>
      </c>
      <c r="V34" s="488" t="str">
        <f aca="false">IF(AND(A34="",F34=0),"",IF(F34=0,"Il manque le(s) % de rec. !",""))</f>
        <v/>
      </c>
      <c r="W34" s="489"/>
      <c r="Y34" s="490" t="str">
        <f aca="false">IF(A34="new.cod","NEWCOD",IF(AND((Z34=""),ISTEXT(A34)),A34,IF(Z34="","",INDEX('liste reference'!$A$8:$A$904,Z34))))</f>
        <v>FONHYD</v>
      </c>
      <c r="Z34" s="280" t="n">
        <f aca="false">IF(ISERROR(MATCH(A34,'liste reference'!$A$8:$A$904,0)),IF(ISERROR(MATCH(A34,'liste reference'!$B$8:$B$904,0)),"",(MATCH(A34,'liste reference'!$B$8:$B$904,0))),(MATCH(A34,'liste reference'!$A$8:$A$904,0)))</f>
        <v>212</v>
      </c>
      <c r="AA34" s="491"/>
      <c r="AB34" s="492"/>
      <c r="AC34" s="492"/>
      <c r="BB34" s="280" t="n">
        <f aca="false">IF(A34="","",1)</f>
        <v>1</v>
      </c>
    </row>
    <row r="35" customFormat="false" ht="12.75" hidden="false" customHeight="false" outlineLevel="0" collapsed="false">
      <c r="A35" s="493" t="s">
        <v>1153</v>
      </c>
      <c r="B35" s="494" t="n">
        <v>0.01</v>
      </c>
      <c r="C35" s="495" t="n">
        <v>0.005</v>
      </c>
      <c r="D35" s="477" t="str">
        <f aca="false">IF(ISERROR(VLOOKUP($A35,'liste reference'!$A$7:$D$904,2,0)),IF(ISERROR(VLOOKUP($A35,'liste reference'!$B$7:$D$904,1,0)),"",VLOOKUP($A35,'liste reference'!$B$7:$D$904,1,0)),VLOOKUP($A35,'liste reference'!$A$7:$D$904,2,0))</f>
        <v>Equisetum arvense</v>
      </c>
      <c r="E35" s="496" t="e">
        <f aca="false">IF(D35="",0,VLOOKUP(D35,D$22:D34,1,0))</f>
        <v>#N/A</v>
      </c>
      <c r="F35" s="500" t="n">
        <f aca="false">($B35*$B$7+$C35*$C$7)/100</f>
        <v>0.0094</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1384</v>
      </c>
      <c r="Q35" s="486" t="n">
        <f aca="false">IF(ISTEXT(H35),"",(B35*$B$7/100)+(C35*$C$7/100))</f>
        <v>0.0094</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EQUARV</v>
      </c>
      <c r="Z35" s="280" t="n">
        <f aca="false">IF(ISERROR(MATCH(A35,'liste reference'!$A$8:$A$904,0)),IF(ISERROR(MATCH(A35,'liste reference'!$B$8:$B$904,0)),"",(MATCH(A35,'liste reference'!$B$8:$B$904,0))),(MATCH(A35,'liste reference'!$A$8:$A$904,0)))</f>
        <v>278</v>
      </c>
      <c r="AA35" s="491"/>
      <c r="AB35" s="492"/>
      <c r="AC35" s="492"/>
      <c r="BB35" s="280" t="n">
        <f aca="false">IF(A35="","",1)</f>
        <v>1</v>
      </c>
    </row>
    <row r="36" customFormat="false" ht="12.75" hidden="false" customHeight="false" outlineLevel="0" collapsed="false">
      <c r="A36" s="493" t="s">
        <v>1708</v>
      </c>
      <c r="B36" s="494" t="n">
        <v>0.005</v>
      </c>
      <c r="C36" s="495"/>
      <c r="D36" s="477" t="str">
        <f aca="false">IF(ISERROR(VLOOKUP($A36,'liste reference'!$A$7:$D$904,2,0)),IF(ISERROR(VLOOKUP($A36,'liste reference'!$B$7:$D$904,1,0)),"",VLOOKUP($A36,'liste reference'!$B$7:$D$904,1,0)),VLOOKUP($A36,'liste reference'!$A$7:$D$904,2,0))</f>
        <v>Agrostis stolonifera</v>
      </c>
      <c r="E36" s="496" t="e">
        <f aca="false">IF(D36="",0,VLOOKUP(D36,D$22:D35,1,0))</f>
        <v>#N/A</v>
      </c>
      <c r="F36" s="500" t="n">
        <f aca="false">($B36*$B$7+$C36*$C$7)/100</f>
        <v>0.0044</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stolonifera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1543</v>
      </c>
      <c r="Q36" s="486" t="n">
        <f aca="false">IF(ISTEXT(H36),"",(B36*$B$7/100)+(C36*$C$7/100))</f>
        <v>0.0044</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AGRSTO</v>
      </c>
      <c r="Z36" s="280" t="n">
        <f aca="false">IF(ISERROR(MATCH(A36,'liste reference'!$A$8:$A$904,0)),IF(ISERROR(MATCH(A36,'liste reference'!$B$8:$B$904,0)),"",(MATCH(A36,'liste reference'!$B$8:$B$904,0))),(MATCH(A36,'liste reference'!$A$8:$A$904,0)))</f>
        <v>514</v>
      </c>
      <c r="AA36" s="491"/>
      <c r="AB36" s="492"/>
      <c r="AC36" s="492"/>
      <c r="BB36" s="280" t="n">
        <f aca="false">IF(A36="","",1)</f>
        <v>1</v>
      </c>
    </row>
    <row r="37" customFormat="false" ht="12.75" hidden="false" customHeight="false" outlineLevel="0" collapsed="false">
      <c r="A37" s="493" t="s">
        <v>1913</v>
      </c>
      <c r="B37" s="494"/>
      <c r="C37" s="495" t="n">
        <v>0.005</v>
      </c>
      <c r="D37" s="477" t="str">
        <f aca="false">IF(ISERROR(VLOOKUP($A37,'liste reference'!$A$7:$D$904,2,0)),IF(ISERROR(VLOOKUP($A37,'liste reference'!$B$7:$D$904,1,0)),"",VLOOKUP($A37,'liste reference'!$B$7:$D$904,1,0)),VLOOKUP($A37,'liste reference'!$A$7:$D$904,2,0))</f>
        <v>Lycopus europaeus</v>
      </c>
      <c r="E37" s="496" t="e">
        <f aca="false">IF(D37="",0,VLOOKUP(D37,D$22:D36,1,0))</f>
        <v>#N/A</v>
      </c>
      <c r="F37" s="500" t="n">
        <f aca="false">($B37*$B$7+$C37*$C$7)/100</f>
        <v>0.0006</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11</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Lycopus europaeus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1789</v>
      </c>
      <c r="Q37" s="486" t="n">
        <f aca="false">IF(ISTEXT(H37),"",(B37*$B$7/100)+(C37*$C$7/100))</f>
        <v>0.0006</v>
      </c>
      <c r="R37" s="487" t="n">
        <f aca="false">IF(OR(ISTEXT(H37),Q37=0),"",IF(Q37&lt;0.1,1,IF(Q37&lt;1,2,IF(Q37&lt;10,3,IF(Q37&lt;50,4,IF(Q37&gt;=50,5,""))))))</f>
        <v>1</v>
      </c>
      <c r="S37" s="487" t="n">
        <f aca="false">IF(ISERROR(R37*I37),0,R37*I37)</f>
        <v>11</v>
      </c>
      <c r="T37" s="487" t="n">
        <f aca="false">IF(ISERROR(R37*I37*J37),0,R37*I37*J37)</f>
        <v>11</v>
      </c>
      <c r="U37" s="499" t="n">
        <f aca="false">IF(ISERROR(R37*J37),0,R37*J37)</f>
        <v>1</v>
      </c>
      <c r="V37" s="488" t="str">
        <f aca="false">IF(AND(A37="",F37=0),"",IF(F37=0,"Il manque le(s) % de rec. !",""))</f>
        <v/>
      </c>
      <c r="W37" s="489"/>
      <c r="X37" s="489"/>
      <c r="Y37" s="490" t="str">
        <f aca="false">IF(A37="new.cod","NEWCOD",IF(AND((Z37=""),ISTEXT(A37)),A37,IF(Z37="","",INDEX('liste reference'!$A$8:$A$904,Z37))))</f>
        <v>LYCEUR</v>
      </c>
      <c r="Z37" s="280" t="n">
        <f aca="false">IF(ISERROR(MATCH(A37,'liste reference'!$A$8:$A$904,0)),IF(ISERROR(MATCH(A37,'liste reference'!$B$8:$B$904,0)),"",(MATCH(A37,'liste reference'!$B$8:$B$904,0))),(MATCH(A37,'liste reference'!$A$8:$A$904,0)))</f>
        <v>596</v>
      </c>
      <c r="AA37" s="491"/>
      <c r="AB37" s="492"/>
      <c r="AC37" s="492"/>
      <c r="BB37" s="280" t="n">
        <f aca="false">IF(A37="","",1)</f>
        <v>1</v>
      </c>
    </row>
    <row r="38" customFormat="false" ht="12.75" hidden="false" customHeight="false" outlineLevel="0" collapsed="false">
      <c r="A38" s="493" t="s">
        <v>1936</v>
      </c>
      <c r="B38" s="494" t="n">
        <v>0.07</v>
      </c>
      <c r="C38" s="495" t="n">
        <v>0.1</v>
      </c>
      <c r="D38" s="477" t="str">
        <f aca="false">IF(ISERROR(VLOOKUP($A38,'liste reference'!$A$7:$D$904,2,0)),IF(ISERROR(VLOOKUP($A38,'liste reference'!$B$7:$D$904,1,0)),"",VLOOKUP($A38,'liste reference'!$B$7:$D$904,1,0)),VLOOKUP($A38,'liste reference'!$A$7:$D$904,2,0))</f>
        <v>Mentha aquatica</v>
      </c>
      <c r="E38" s="496" t="e">
        <f aca="false">IF(D38="",0,VLOOKUP(D38,D$22:D37,1,0))</f>
        <v>#N/A</v>
      </c>
      <c r="F38" s="500" t="n">
        <f aca="false">($B38*$B$7+$C38*$C$7)/100</f>
        <v>0.0736</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aquatica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1791</v>
      </c>
      <c r="Q38" s="486" t="n">
        <f aca="false">IF(ISTEXT(H38),"",(B38*$B$7/100)+(C38*$C$7/100))</f>
        <v>0.0736</v>
      </c>
      <c r="R38" s="487" t="n">
        <f aca="false">IF(OR(ISTEXT(H38),Q38=0),"",IF(Q38&lt;0.1,1,IF(Q38&lt;1,2,IF(Q38&lt;10,3,IF(Q38&lt;50,4,IF(Q38&gt;=50,5,""))))))</f>
        <v>1</v>
      </c>
      <c r="S38" s="487" t="n">
        <f aca="false">IF(ISERROR(R38*I38),0,R38*I38)</f>
        <v>12</v>
      </c>
      <c r="T38" s="487" t="n">
        <f aca="false">IF(ISERROR(R38*I38*J38),0,R38*I38*J38)</f>
        <v>12</v>
      </c>
      <c r="U38" s="499" t="n">
        <f aca="false">IF(ISERROR(R38*J38),0,R38*J38)</f>
        <v>1</v>
      </c>
      <c r="V38" s="488" t="str">
        <f aca="false">IF(AND(A38="",F38=0),"",IF(F38=0,"Il manque le(s) % de rec. !",""))</f>
        <v/>
      </c>
      <c r="W38" s="489"/>
      <c r="Y38" s="490" t="str">
        <f aca="false">IF(A38="new.cod","NEWCOD",IF(AND((Z38=""),ISTEXT(A38)),A38,IF(Z38="","",INDEX('liste reference'!$A$8:$A$904,Z38))))</f>
        <v>MENAQU</v>
      </c>
      <c r="Z38" s="280" t="n">
        <f aca="false">IF(ISERROR(MATCH(A38,'liste reference'!$A$8:$A$904,0)),IF(ISERROR(MATCH(A38,'liste reference'!$B$8:$B$904,0)),"",(MATCH(A38,'liste reference'!$B$8:$B$904,0))),(MATCH(A38,'liste reference'!$A$8:$A$904,0)))</f>
        <v>607</v>
      </c>
      <c r="AA38" s="491"/>
      <c r="AB38" s="492"/>
      <c r="AC38" s="492"/>
      <c r="BB38" s="280" t="n">
        <f aca="false">IF(A38="","",1)</f>
        <v>1</v>
      </c>
    </row>
    <row r="39" customFormat="false" ht="12.75" hidden="false" customHeight="false" outlineLevel="0" collapsed="false">
      <c r="A39" s="493" t="s">
        <v>2390</v>
      </c>
      <c r="B39" s="494" t="n">
        <v>0.005</v>
      </c>
      <c r="C39" s="495"/>
      <c r="D39" s="477" t="str">
        <f aca="false">IF(ISERROR(VLOOKUP($A39,'liste reference'!$A$7:$D$904,2,0)),IF(ISERROR(VLOOKUP($A39,'liste reference'!$B$7:$D$904,1,0)),"",VLOOKUP($A39,'liste reference'!$B$7:$D$904,1,0)),VLOOKUP($A39,'liste reference'!$A$7:$D$904,2,0))</f>
        <v>Ranunculus repens</v>
      </c>
      <c r="E39" s="496" t="e">
        <f aca="false">IF(D39="",0,VLOOKUP(D39,D$22:D38,1,0))</f>
        <v>#N/A</v>
      </c>
      <c r="F39" s="500" t="n">
        <f aca="false">($B39*$B$7+$C39*$C$7)/100</f>
        <v>0.0044</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Ranunculus repens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1910</v>
      </c>
      <c r="Q39" s="486" t="n">
        <f aca="false">IF(ISTEXT(H39),"",(B39*$B$7/100)+(C39*$C$7/100))</f>
        <v>0.0044</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501"/>
      <c r="Y39" s="490" t="str">
        <f aca="false">IF(A39="new.cod","NEWCOD",IF(AND((Z39=""),ISTEXT(A39)),A39,IF(Z39="","",INDEX('liste reference'!$A$8:$A$904,Z39))))</f>
        <v>RANREP</v>
      </c>
      <c r="Z39" s="280" t="n">
        <f aca="false">IF(ISERROR(MATCH(A39,'liste reference'!$A$8:$A$904,0)),IF(ISERROR(MATCH(A39,'liste reference'!$B$8:$B$904,0)),"",(MATCH(A39,'liste reference'!$B$8:$B$904,0))),(MATCH(A39,'liste reference'!$A$8:$A$904,0)))</f>
        <v>803</v>
      </c>
      <c r="AA39" s="491"/>
      <c r="AB39" s="492"/>
      <c r="AC39" s="492"/>
      <c r="BB39" s="280" t="n">
        <f aca="false">IF(A39="","",1)</f>
        <v>1</v>
      </c>
    </row>
    <row r="40" customFormat="false" ht="12.75" hidden="false" customHeight="false" outlineLevel="0" collapsed="false">
      <c r="A40" s="493" t="s">
        <v>2687</v>
      </c>
      <c r="B40" s="494" t="n">
        <v>0.005</v>
      </c>
      <c r="C40" s="495" t="n">
        <v>0.005</v>
      </c>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0.005</v>
      </c>
      <c r="G40" s="479" t="str">
        <f aca="false">IF(A40="","",IF(ISERROR(VLOOKUP($A40,'liste reference'!$A$7:$P$904,13,0)),IF(ISERROR(VLOOKUP($A40,'liste reference'!$B$7:$P$904,12,0)),"    -",VLOOKUP($A40,'liste reference'!$B$7:$P$904,12,0)),VLOOKUP($A40,'liste reference'!$A$7:$P$904,13,0)))</f>
        <v>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Potentilla reptans</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No</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NEWCOD</v>
      </c>
      <c r="Z40" s="280" t="str">
        <f aca="false">IF(ISERROR(MATCH(A40,'liste reference'!$A$8:$A$904,0)),IF(ISERROR(MATCH(A40,'liste reference'!$B$8:$B$904,0)),"",(MATCH(A40,'liste reference'!$B$8:$B$904,0))),(MATCH(A40,'liste reference'!$A$8:$A$904,0)))</f>
        <v/>
      </c>
      <c r="AA40" s="491"/>
      <c r="AB40" s="492" t="s">
        <v>2688</v>
      </c>
      <c r="AC40" s="492"/>
      <c r="BB40" s="280" t="n">
        <f aca="false">IF(A40="","",1)</f>
        <v>1</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Casaluna</v>
      </c>
      <c r="B84" s="529" t="str">
        <f aca="false">C3</f>
        <v>Gavignano</v>
      </c>
      <c r="C84" s="530" t="n">
        <f aca="false">A4</f>
        <v>41806</v>
      </c>
      <c r="D84" s="531" t="n">
        <f aca="false">IF(ISERROR(SUM($T$23:$T$82)/SUM($U$23:$U$82)),"",SUM($T$23:$T$82)/SUM($U$23:$U$82))</f>
        <v>12.4166666666667</v>
      </c>
      <c r="E84" s="532" t="n">
        <f aca="false">N13</f>
        <v>18</v>
      </c>
      <c r="F84" s="529" t="n">
        <f aca="false">N14</f>
        <v>17</v>
      </c>
      <c r="G84" s="529" t="n">
        <f aca="false">N15</f>
        <v>9</v>
      </c>
      <c r="H84" s="529" t="n">
        <f aca="false">N16</f>
        <v>4</v>
      </c>
      <c r="I84" s="529" t="n">
        <f aca="false">N17</f>
        <v>2</v>
      </c>
      <c r="J84" s="533" t="n">
        <f aca="false">N8</f>
        <v>10.1176470588235</v>
      </c>
      <c r="K84" s="531" t="n">
        <f aca="false">N9</f>
        <v>4.90956273290949</v>
      </c>
      <c r="L84" s="532" t="n">
        <f aca="false">N10</f>
        <v>0</v>
      </c>
      <c r="M84" s="532" t="n">
        <f aca="false">N11</f>
        <v>18</v>
      </c>
      <c r="N84" s="531" t="n">
        <f aca="false">O8</f>
        <v>1.35294117647059</v>
      </c>
      <c r="O84" s="531" t="n">
        <f aca="false">O9</f>
        <v>0.836039435503053</v>
      </c>
      <c r="P84" s="532" t="n">
        <f aca="false">O10</f>
        <v>0</v>
      </c>
      <c r="Q84" s="532" t="n">
        <f aca="false">O11</f>
        <v>3</v>
      </c>
      <c r="R84" s="532" t="n">
        <f aca="false">F21</f>
        <v>0.3564</v>
      </c>
      <c r="S84" s="532" t="n">
        <f aca="false">K11</f>
        <v>0</v>
      </c>
      <c r="T84" s="532" t="n">
        <f aca="false">K12</f>
        <v>10</v>
      </c>
      <c r="U84" s="532" t="n">
        <f aca="false">K13</f>
        <v>2</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18</v>
      </c>
      <c r="T87" s="280"/>
      <c r="U87" s="280"/>
      <c r="V87" s="280"/>
    </row>
    <row r="88" customFormat="false" ht="12.75" hidden="true" customHeight="false" outlineLevel="0" collapsed="false">
      <c r="P88" s="280"/>
      <c r="Q88" s="280" t="s">
        <v>2692</v>
      </c>
      <c r="R88" s="280"/>
      <c r="S88" s="488" t="n">
        <f aca="false">VLOOKUP((S87),($S$23:$U$82),2,0)</f>
        <v>54</v>
      </c>
      <c r="T88" s="280"/>
      <c r="U88" s="280"/>
      <c r="V88" s="280"/>
    </row>
    <row r="89" customFormat="false" ht="12.75" hidden="true" customHeight="false" outlineLevel="0" collapsed="false">
      <c r="Q89" s="280" t="s">
        <v>2693</v>
      </c>
      <c r="R89" s="280"/>
      <c r="S89" s="488" t="n">
        <f aca="false">VLOOKUP((S87),($S$23:$U$82),3,0)</f>
        <v>3</v>
      </c>
      <c r="T89" s="280"/>
    </row>
    <row r="90" customFormat="false" ht="12.75" hidden="false" customHeight="false" outlineLevel="0" collapsed="false">
      <c r="Q90" s="280" t="s">
        <v>2694</v>
      </c>
      <c r="R90" s="280"/>
      <c r="S90" s="538" t="n">
        <f aca="false">IF(ISERROR(SUM($T$23:$T$82)/SUM($U$23:$U$82)),"",(SUM($T$23:$T$82)-S88)/(SUM($U$23:$U$82)-S89))</f>
        <v>11.6190476190476</v>
      </c>
      <c r="T90" s="280"/>
    </row>
    <row r="91" customFormat="false" ht="12.75" hidden="false" customHeight="false" outlineLevel="0" collapsed="false">
      <c r="Q91" s="487" t="s">
        <v>2695</v>
      </c>
      <c r="R91" s="487"/>
      <c r="S91" s="487" t="str">
        <f aca="false">INDEX('liste reference'!$A$8:$A$904,$T$91)</f>
        <v>CRAFIL</v>
      </c>
      <c r="T91" s="280" t="n">
        <f aca="false">IF(ISERROR(MATCH($S$93,'liste reference'!$A$8:$A$904,0)),MATCH($S$93,'liste reference'!$B$8:$B$904,0),(MATCH($S$93,'liste reference'!$A$8:$A$904,0)))</f>
        <v>178</v>
      </c>
      <c r="U91" s="527"/>
    </row>
    <row r="92" customFormat="false" ht="12.75" hidden="false" customHeight="false" outlineLevel="0" collapsed="false">
      <c r="Q92" s="280" t="s">
        <v>2696</v>
      </c>
      <c r="R92" s="280"/>
      <c r="S92" s="280" t="n">
        <f aca="false">MATCH(S87,$S$23:$S$82,0)</f>
        <v>11</v>
      </c>
      <c r="T92" s="280"/>
    </row>
    <row r="93" customFormat="false" ht="12.75" hidden="false" customHeight="false" outlineLevel="0" collapsed="false">
      <c r="Q93" s="487" t="s">
        <v>2697</v>
      </c>
      <c r="R93" s="280"/>
      <c r="S93" s="487" t="str">
        <f aca="false">INDEX($A$23:$A$82,$S$92)</f>
        <v>CRAFIL</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M3">
    <cfRule type="cellIs" priority="24" operator="between" aboveAverage="0" equalAverage="0" bottom="0" percent="0" rank="0" text="" dxfId="33">
      <formula>"(Dossier, type réseau)"</formula>
      <formula>"(Dossier, type réseau)"</formula>
    </cfRule>
    <cfRule type="cellIs" priority="25" operator="notBetween" aboveAverage="0" equalAverage="0" bottom="0" percent="0" rank="0" text="" dxfId="34">
      <formula>"(Dossier, type réseau)"</formula>
      <formula>"(Dossier, type réseau)"</formula>
    </cfRule>
  </conditionalFormatting>
  <conditionalFormatting sqref="C2">
    <cfRule type="cellIs" priority="26" operator="between" aboveAverage="0" equalAverage="0" bottom="0" percent="0" rank="0" text="" dxfId="35">
      <formula>"(Opérateurs)"</formula>
      <formula>"(Opérateurs)"</formula>
    </cfRule>
    <cfRule type="cellIs" priority="27" operator="notBetween" aboveAverage="0" equalAverage="0" bottom="0" percent="0" rank="0" text="" dxfId="36">
      <formula>"(Opérateurs)"</formula>
      <formula>"(Opérateurs)"</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2712</v>
      </c>
      <c r="G17" s="577"/>
      <c r="H17" s="576" t="s">
        <v>2712</v>
      </c>
      <c r="I17" s="578"/>
    </row>
    <row r="18" customFormat="false" ht="15" hidden="false" customHeight="false" outlineLevel="0" collapsed="false">
      <c r="A18" s="565" t="s">
        <v>1212</v>
      </c>
      <c r="B18" s="566" t="s">
        <v>1213</v>
      </c>
      <c r="C18" s="568"/>
      <c r="D18" s="569"/>
      <c r="F18" s="576" t="s">
        <v>2713</v>
      </c>
      <c r="G18" s="577"/>
      <c r="H18" s="576" t="s">
        <v>2713</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2721</v>
      </c>
      <c r="C37" s="568"/>
      <c r="D37" s="569"/>
      <c r="F37" s="585" t="s">
        <v>2638</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2015-03-20T11:48:31Z</dcterms:modified>
  <cp:revision>0</cp:revision>
  <dc:subject/>
  <dc:title>Feuille d'aide au calcul de l'IBMR</dc:title>
</cp:coreProperties>
</file>