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asaluna a Gavignano" sheetId="7" state="visible" r:id="rId9"/>
    <sheet name="liste codes réf" sheetId="8" state="hidden" r:id="rId10"/>
  </sheets>
  <definedNames>
    <definedName function="false" hidden="false" localSheetId="6" name="_xlnm.Print_Area" vbProcedure="false">'Casaluna a Gavignano'!$A$1:$Q$82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'Casaluna a Gavignano'!$A$1:$C$1415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<sst xmlns="http://schemas.openxmlformats.org/spreadsheetml/2006/main" count="9998" uniqueCount="3494">
  <si>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</si>
  <si>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</si>
  <si>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</si>
  <si>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</si>
  <si>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</si>
  <si>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</si>
  <si>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</si>
  <si>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</si>
  <si>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</si>
  <si>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</si>
  <si>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</si>
  <si>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</si>
  <si>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</si>
  <si>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</si>
  <si>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</si>
  <si>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</si>
  <si>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</si>
  <si>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</si>
  <si>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</si>
  <si>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</si>
  <si>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</si>
  <si>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</si>
  <si>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</si>
  <si>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</si>
  <si>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</si>
  <si>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</si>
  <si>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</si>
  <si>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</si>
  <si>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</si>
  <si>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</si>
  <si>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</si>
  <si>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</si>
  <si>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</si>
  <si>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</si>
  <si>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</si>
  <si>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</si>
  <si>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</si>
  <si>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</si>
  <si>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</si>
  <si>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</si>
  <si>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</si>
  <si>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</si>
  <si>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</si>
  <si>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</si>
  <si>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</si>
  <si>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</si>
  <si>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</si>
  <si>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</si>
  <si>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</si>
  <si>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</si>
  <si>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</si>
  <si>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</si>
  <si>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</si>
  <si>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</si>
  <si>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</si>
  <si>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</si>
  <si>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</si>
  <si>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</si>
  <si>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</si>
  <si>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</si>
  <si>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</si>
  <si>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</si>
  <si>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</si>
  <si>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</si>
  <si>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</si>
  <si>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</si>
  <si>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</si>
  <si>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</si>
  <si>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</si>
  <si>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</si>
  <si>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</si>
  <si>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</si>
  <si>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</si>
  <si>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</si>
  <si>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</si>
  <si>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</si>
  <si>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</si>
  <si>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</si>
  <si>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</si>
  <si>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</si>
  <si>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</si>
  <si>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</si>
  <si>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</si>
  <si>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</si>
  <si>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</si>
  <si>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</si>
  <si>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</si>
  <si>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</si>
  <si>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</si>
  <si>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</si>
  <si>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</si>
  <si>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</si>
  <si>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</si>
  <si>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</si>
  <si>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</si>
  <si>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</si>
  <si>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</si>
  <si>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</si>
  <si>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</si>
  <si>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</si>
  <si>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</si>
  <si>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</si>
  <si>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</si>
  <si>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</si>
  <si>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</si>
  <si>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</si>
  <si>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</si>
  <si>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</si>
  <si>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</si>
  <si>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</si>
  <si>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</si>
  <si>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</si>
  <si>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</si>
  <si>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</si>
  <si>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</si>
  <si>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</si>
  <si>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</si>
  <si>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</si>
  <si>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</si>
  <si>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</si>
  <si>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</si>
  <si>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</si>
  <si>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</si>
  <si>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</si>
  <si>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</si>
  <si>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</si>
  <si>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</si>
  <si>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</si>
  <si>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</si>
  <si>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</si>
  <si>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</si>
  <si>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</si>
  <si>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</si>
  <si>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</si>
  <si>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</si>
  <si>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</si>
  <si>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</si>
  <si>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</si>
  <si>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</si>
  <si>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</si>
  <si>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</si>
  <si>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</si>
  <si>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</si>
  <si>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</si>
  <si>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</si>
  <si>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</si>
  <si>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</si>
  <si>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</si>
  <si>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</si>
  <si>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</si>
  <si>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</si>
  <si>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</si>
  <si>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</si>
  <si>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</si>
  <si>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</si>
  <si>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</si>
  <si>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</si>
  <si>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</si>
  <si>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</si>
  <si>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</si>
  <si>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</si>
  <si>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</si>
  <si>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</si>
  <si>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</si>
  <si>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</si>
  <si>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</si>
  <si>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</si>
  <si>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</si>
  <si>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</si>
  <si>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</si>
  <si>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</si>
  <si>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</si>
  <si>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</si>
  <si>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</si>
  <si>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</si>
  <si>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</si>
  <si>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</si>
  <si>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</si>
  <si>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</si>
  <si>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</si>
  <si>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</si>
  <si>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</si>
  <si>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</si>
  <si>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</si>
  <si>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</si>
  <si>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</si>
  <si>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</si>
  <si>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</si>
  <si>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</si>
  <si>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</si>
  <si>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</si>
  <si>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</si>
  <si>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</si>
  <si>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</si>
  <si>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</si>
  <si>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</si>
  <si>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</si>
  <si>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</si>
  <si>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</si>
  <si>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</si>
  <si>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</si>
  <si>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</si>
  <si>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</si>
  <si>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</si>
  <si>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</si>
  <si>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</si>
  <si>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</si>
  <si>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</si>
  <si>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</si>
  <si>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</si>
  <si>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</si>
  <si>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</si>
  <si>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</si>
  <si>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</si>
  <si>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</si>
  <si>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</si>
  <si>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</si>
  <si>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</si>
  <si>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</si>
  <si>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</si>
  <si>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</si>
  <si>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</si>
  <si>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</si>
  <si>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</si>
  <si>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</si>
  <si>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</si>
  <si>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</si>
  <si>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</si>
  <si>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</si>
  <si>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</si>
  <si>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</si>
  <si>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</si>
  <si>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</si>
  <si>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</si>
  <si>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</si>
  <si>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</si>
  <si>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</si>
  <si>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</si>
  <si>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</si>
  <si>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</si>
  <si>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</si>
  <si>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</si>
  <si>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</si>
  <si>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</si>
  <si>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</si>
  <si>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</si>
  <si>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</si>
  <si>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</si>
  <si>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</si>
  <si>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</si>
  <si>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</si>
  <si>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</si>
  <si>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</si>
  <si>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</si>
  <si>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</si>
  <si>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</si>
  <si>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</si>
  <si>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</si>
  <si>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</si>
  <si>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</si>
  <si>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</si>
  <si>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</si>
  <si>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</si>
  <si>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</si>
  <si>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</si>
  <si>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</si>
  <si>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</si>
  <si>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</si>
  <si>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</si>
  <si>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</si>
  <si>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</si>
  <si>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</si>
  <si>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</si>
  <si>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</si>
  <si>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</si>
  <si>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</si>
  <si>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</si>
  <si>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</si>
  <si>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</si>
  <si>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</si>
  <si>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</si>
  <si>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</si>
  <si>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</si>
  <si>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</si>
  <si>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</si>
  <si>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</si>
  <si>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</si>
  <si>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</si>
  <si>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</si>
  <si>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</si>
  <si>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</si>
  <si>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</si>
  <si>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</si>
  <si>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</si>
  <si>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</si>
  <si>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</si>
  <si>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</si>
  <si>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</si>
  <si>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</si>
  <si>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</si>
  <si>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</si>
  <si>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</si>
  <si>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</si>
  <si>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</si>
  <si>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</si>
  <si>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</si>
  <si>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</si>
  <si>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</si>
  <si>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</si>
  <si>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</si>
  <si>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</si>
  <si>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</si>
  <si>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</si>
  <si>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</si>
  <si>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</si>
  <si>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</si>
  <si>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</si>
  <si>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</si>
  <si>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</si>
  <si>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</si>
  <si>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</si>
  <si>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</si>
  <si>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</si>
  <si>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</si>
  <si>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</si>
  <si>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</si>
  <si>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</si>
  <si>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</si>
  <si>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</si>
  <si>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</si>
  <si>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</si>
  <si>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</si>
  <si>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</si>
  <si>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</si>
  <si>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</si>
  <si>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</si>
  <si>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</si>
  <si>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</si>
  <si>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</si>
  <si>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</si>
  <si>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</si>
  <si>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</si>
  <si>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</si>
  <si>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</si>
  <si>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</si>
  <si>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</si>
  <si>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</si>
  <si>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</si>
  <si>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</si>
  <si>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</si>
  <si>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</si>
  <si>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</si>
  <si>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</si>
  <si>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</si>
  <si>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</si>
  <si>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</si>
  <si>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</si>
  <si>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</si>
  <si>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</si>
  <si>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</si>
  <si>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</si>
  <si>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</si>
  <si>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</si>
  <si>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</si>
  <si>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</si>
  <si>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</si>
  <si>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</si>
  <si>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</si>
  <si>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</si>
  <si>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</si>
  <si>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</si>
  <si>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</si>
  <si>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</si>
  <si>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</si>
  <si>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</si>
  <si>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</si>
  <si>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</si>
  <si>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</si>
  <si>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</si>
  <si>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</si>
  <si>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</si>
  <si>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</si>
  <si>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</si>
  <si>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</si>
  <si>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</si>
  <si>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</si>
  <si>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</si>
  <si>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</si>
  <si>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</si>
  <si>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</si>
  <si>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</si>
  <si>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</si>
  <si>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</si>
  <si>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</si>
  <si>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</si>
  <si>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</si>
  <si>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</si>
  <si>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</si>
  <si>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</si>
  <si>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</si>
  <si>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</si>
  <si>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</si>
  <si>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</si>
  <si>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</si>
  <si>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</si>
  <si>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</si>
  <si>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</si>
  <si>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</si>
  <si>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</si>
  <si>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</si>
  <si>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</si>
  <si>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</si>
  <si>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</si>
  <si>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</si>
  <si>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</si>
  <si>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</si>
  <si>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</si>
  <si>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</si>
  <si>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</si>
  <si>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</si>
  <si>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</si>
  <si>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</si>
  <si>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</si>
  <si>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</si>
  <si>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</si>
  <si>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</si>
  <si>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</si>
  <si>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</si>
  <si>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</si>
  <si>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</si>
  <si>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</si>
  <si>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</si>
  <si>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</si>
  <si>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</si>
  <si>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</si>
  <si>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</si>
  <si>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</si>
  <si>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</si>
  <si>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</si>
  <si>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</si>
  <si>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</si>
  <si>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</si>
  <si>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</si>
  <si>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</si>
  <si>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</si>
  <si>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</si>
  <si>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</si>
  <si>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</si>
  <si>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</si>
  <si>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</si>
  <si>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</si>
  <si>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</si>
  <si>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</si>
  <si>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</si>
  <si>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</si>
  <si>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</si>
  <si>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</si>
  <si>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</si>
  <si>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</si>
  <si>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</si>
  <si>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</si>
  <si>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</si>
  <si>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</si>
  <si>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</si>
  <si>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</si>
  <si>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</si>
  <si>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</si>
  <si>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</si>
  <si>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</si>
  <si>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</si>
  <si>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</si>
  <si>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</si>
  <si>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</si>
  <si>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</si>
  <si>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</si>
  <si>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</si>
  <si>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</si>
  <si>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</si>
  <si>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</si>
  <si>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</si>
  <si>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</si>
  <si>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</si>
  <si>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</si>
  <si>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</si>
  <si>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</si>
  <si>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</si>
  <si>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</si>
  <si>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</si>
  <si>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</si>
  <si>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</si>
  <si>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</si>
  <si>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</si>
  <si>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</si>
  <si>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</si>
  <si>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</si>
  <si>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</si>
  <si>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</si>
  <si>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</si>
  <si>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</si>
  <si>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</si>
  <si>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</si>
  <si>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</si>
  <si>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</si>
  <si>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</si>
  <si>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</si>
  <si>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</si>
  <si>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</si>
  <si>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</si>
  <si>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</si>
  <si>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</si>
  <si>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</si>
  <si>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</si>
  <si>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</si>
  <si>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</si>
  <si>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</si>
  <si>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</si>
  <si>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</si>
  <si>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</si>
  <si>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</si>
  <si>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</si>
  <si>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</si>
  <si>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</si>
  <si>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</si>
  <si>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</si>
  <si>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</si>
  <si>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</si>
  <si>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</si>
  <si>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</si>
  <si>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</si>
  <si>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</si>
  <si>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</si>
  <si>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</si>
  <si>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</si>
  <si>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</si>
  <si>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</si>
  <si>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</si>
  <si>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</si>
  <si>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</si>
  <si>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</si>
  <si>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</si>
  <si>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</si>
  <si>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</si>
  <si>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</si>
  <si>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</si>
  <si>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</si>
  <si>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</si>
  <si>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</si>
  <si>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</si>
  <si>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</si>
  <si>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</si>
  <si>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</si>
  <si>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</si>
  <si>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</si>
  <si>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</si>
  <si>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</si>
  <si>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</si>
  <si>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</si>
  <si>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</si>
  <si>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</si>
  <si>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</si>
  <si>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</si>
  <si>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</si>
  <si>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</si>
  <si>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</si>
  <si>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</si>
  <si>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</si>
  <si>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</si>
  <si>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</si>
  <si>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</si>
  <si>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</si>
  <si>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</si>
  <si>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</si>
  <si>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</si>
  <si>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</si>
  <si>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</si>
  <si>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</si>
  <si>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</si>
  <si>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</si>
  <si>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</si>
  <si>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</si>
  <si>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</si>
  <si>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</si>
  <si>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</si>
  <si>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</si>
  <si>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</si>
  <si>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</si>
  <si>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</si>
  <si>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</si>
  <si>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</si>
  <si>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</si>
  <si>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</si>
  <si>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</si>
  <si>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</si>
  <si>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</si>
  <si>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</si>
  <si>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</si>
  <si>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</si>
  <si>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</si>
  <si>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</si>
  <si>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</si>
  <si>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</si>
  <si>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</si>
  <si>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</si>
  <si>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</si>
  <si>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</si>
  <si>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</si>
  <si>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</si>
  <si>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</si>
  <si>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</si>
  <si>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</si>
  <si>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</si>
  <si>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</si>
  <si>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</si>
  <si>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</si>
  <si>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</si>
  <si>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</si>
  <si>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</si>
  <si>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</si>
  <si>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</si>
  <si>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</si>
  <si>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</si>
  <si>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</si>
  <si>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</si>
  <si>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</si>
  <si>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</si>
  <si>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</si>
  <si>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</si>
  <si>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</si>
  <si>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</si>
  <si>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</si>
  <si>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</si>
  <si>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</si>
  <si>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</si>
  <si>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</si>
  <si>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</si>
  <si>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</si>
  <si>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</si>
  <si>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</si>
  <si>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</si>
  <si>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</si>
  <si>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</si>
  <si>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</si>
  <si>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</si>
  <si>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</si>
  <si>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</si>
  <si>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</si>
  <si>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</si>
  <si>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</si>
  <si>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</si>
  <si>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</si>
  <si>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</si>
  <si>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</si>
  <si>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</si>
  <si>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</si>
  <si>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</si>
  <si>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</si>
  <si>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</si>
  <si>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</si>
  <si>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</si>
  <si>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</si>
  <si>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</si>
  <si>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</si>
  <si>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</si>
  <si>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</si>
  <si>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</si>
  <si>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</si>
  <si>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</si>
  <si>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</si>
  <si>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</si>
  <si>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</si>
  <si>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</si>
  <si>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</si>
  <si>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</si>
  <si>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</si>
  <si>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</si>
  <si>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</si>
  <si>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</si>
  <si>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</si>
  <si>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</si>
  <si>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</si>
  <si>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</si>
  <si>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</si>
  <si>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</si>
  <si>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</si>
  <si>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</si>
  <si>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</si>
  <si>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</si>
  <si>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</si>
  <si>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</si>
  <si>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</si>
  <si>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</si>
  <si>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</si>
  <si>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</si>
  <si>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</si>
  <si>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</si>
  <si>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</si>
  <si>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</si>
  <si>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</si>
  <si>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</si>
  <si>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</si>
  <si>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</si>
  <si>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</si>
  <si>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</si>
  <si>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</si>
  <si>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</si>
  <si>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</si>
  <si>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</si>
  <si>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</si>
  <si>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</si>
  <si>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</si>
  <si>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</si>
  <si>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</si>
  <si>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</si>
  <si>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</si>
  <si>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</si>
  <si>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</si>
  <si>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</si>
  <si>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</si>
  <si>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</si>
  <si>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</si>
  <si>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</si>
  <si>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</si>
  <si>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</si>
  <si>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</si>
  <si>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</si>
  <si>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</si>
  <si>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</si>
  <si>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</si>
  <si>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</si>
  <si>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</si>
  <si>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</si>
  <si>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</si>
  <si>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</si>
  <si>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</si>
  <si>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</si>
  <si>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</si>
  <si>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</si>
  <si>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</si>
  <si>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</si>
  <si>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</si>
  <si>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</si>
  <si>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</si>
  <si>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</si>
  <si>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</si>
  <si>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</si>
  <si>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</si>
  <si>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</si>
  <si>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</si>
  <si>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</si>
  <si>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</si>
  <si>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</si>
  <si>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</si>
  <si>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</si>
  <si>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</si>
  <si>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</si>
  <si>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</si>
  <si>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</si>
  <si>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</si>
  <si>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</si>
  <si>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</si>
  <si>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</si>
  <si>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</si>
  <si>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</si>
  <si>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</si>
  <si>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</si>
  <si>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</si>
  <si>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</si>
  <si>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</si>
  <si>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</si>
  <si>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</si>
  <si>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</si>
  <si>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</si>
  <si>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</si>
  <si>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</si>
  <si>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</si>
  <si>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</si>
  <si>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</si>
  <si>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</si>
  <si>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</si>
  <si>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</si>
  <si>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</si>
  <si>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</si>
  <si>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</si>
  <si>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</si>
  <si>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</si>
  <si>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</si>
  <si>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</si>
  <si>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</si>
  <si>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</si>
  <si>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</si>
  <si>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</si>
  <si>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</si>
  <si>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</si>
  <si>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</si>
  <si>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</si>
  <si>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</si>
  <si>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</si>
  <si>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</si>
  <si>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</si>
  <si>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</si>
  <si>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</si>
  <si>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</si>
  <si>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</si>
  <si>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</si>
  <si>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</si>
  <si>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</si>
  <si>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</si>
  <si>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</si>
  <si>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</si>
  <si>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</si>
  <si>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</si>
  <si>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</si>
  <si>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</si>
  <si>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</si>
  <si>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</si>
  <si>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</si>
  <si>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</si>
  <si>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</si>
  <si>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</si>
  <si>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</si>
  <si>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</si>
  <si>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</si>
  <si>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</si>
  <si>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</si>
  <si>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</si>
  <si>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</si>
  <si>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</si>
  <si>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</si>
  <si>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</si>
  <si>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</si>
  <si>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</si>
  <si>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</si>
  <si>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</si>
  <si>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</si>
  <si>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</si>
  <si>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</si>
  <si>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</si>
  <si>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</si>
  <si>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</si>
  <si>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</si>
  <si>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</si>
  <si>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</si>
  <si>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</si>
  <si>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</si>
  <si>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</si>
  <si>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</si>
  <si>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</si>
  <si>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</si>
  <si>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</si>
  <si>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</si>
  <si>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</si>
  <si>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</si>
  <si>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</si>
  <si>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</si>
  <si>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</si>
  <si>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</si>
  <si>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</si>
  <si>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</si>
  <si>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</si>
  <si>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</si>
  <si>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</si>
  <si>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</si>
  <si>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</si>
  <si>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</si>
  <si>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</si>
  <si>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</si>
  <si>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</si>
  <si>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</si>
  <si>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</si>
  <si>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</si>
  <si>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</si>
  <si>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</si>
  <si>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</si>
  <si>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</si>
  <si>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</si>
  <si>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</si>
  <si>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</si>
  <si>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</si>
  <si>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</si>
  <si>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</si>
  <si>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</si>
  <si>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</si>
  <si>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</si>
  <si>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</si>
  <si>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</si>
  <si>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</si>
  <si>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</si>
  <si>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</si>
  <si>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</si>
  <si>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</si>
  <si>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</si>
  <si>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</si>
  <si>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</si>
  <si>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</si>
  <si>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</si>
  <si>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</si>
  <si>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</si>
  <si>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</si>
  <si>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</si>
  <si>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</si>
  <si>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</si>
  <si>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</si>
  <si>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</si>
  <si>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</si>
  <si>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</si>
  <si>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</si>
  <si>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</si>
  <si>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</si>
  <si>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</si>
  <si>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</si>
  <si>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</si>
  <si>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</si>
  <si>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</si>
  <si>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</si>
  <si>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</si>
  <si>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</si>
  <si>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</si>
  <si>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</si>
  <si>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</si>
  <si>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</si>
  <si>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</si>
  <si>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</si>
  <si>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</si>
  <si>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</si>
  <si>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</si>
  <si>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</si>
  <si>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</si>
  <si>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</si>
  <si>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</si>
  <si>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</si>
  <si>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</si>
  <si>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</si>
  <si>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</si>
  <si>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</si>
  <si>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</si>
  <si>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</si>
  <si>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</si>
  <si>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</si>
  <si>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</si>
  <si>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</si>
  <si>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</si>
  <si>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</si>
  <si>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</si>
  <si>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</si>
  <si>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</si>
  <si>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</si>
  <si>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</si>
  <si>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</si>
  <si>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</si>
  <si>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</si>
  <si>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</si>
  <si>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</si>
  <si>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</si>
  <si>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</si>
  <si>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</si>
  <si>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</si>
  <si>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</si>
  <si>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</si>
  <si>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</si>
  <si>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</si>
  <si>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</si>
  <si>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</si>
  <si>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</si>
  <si>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</si>
  <si>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</si>
  <si>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</si>
  <si>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</si>
  <si>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</si>
  <si>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</si>
  <si>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</si>
  <si>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</si>
  <si>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</si>
  <si>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</si>
  <si>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</si>
  <si>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</si>
  <si>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</si>
  <si>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</si>
  <si>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</si>
  <si>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</si>
  <si>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</si>
  <si>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</si>
  <si>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</si>
  <si>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</si>
  <si>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</si>
  <si>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</si>
  <si>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</si>
  <si>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</si>
  <si>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</si>
  <si>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</si>
  <si>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</si>
  <si>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</si>
  <si>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</si>
  <si>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</si>
  <si>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</si>
  <si>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</si>
  <si>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</si>
  <si>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</si>
  <si>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</si>
  <si>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</si>
  <si>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</si>
  <si>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</si>
  <si>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</si>
  <si>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</si>
  <si>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</si>
  <si>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</si>
  <si>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</si>
  <si>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</si>
  <si>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</si>
  <si>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</si>
  <si>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</si>
  <si>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</si>
  <si>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</si>
  <si>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</si>
  <si>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</si>
  <si>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</si>
  <si>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</si>
  <si>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</si>
  <si>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</si>
  <si>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</si>
  <si>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</si>
  <si>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</si>
  <si>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</si>
  <si>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</si>
  <si>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</si>
  <si>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</si>
  <si>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</si>
  <si>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</si>
  <si>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</si>
  <si>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</si>
  <si>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</si>
  <si>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</si>
  <si>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</si>
  <si>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</si>
  <si>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</si>
  <si>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</si>
  <si>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</si>
  <si>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</si>
  <si>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</si>
  <si>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</si>
  <si>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</si>
  <si>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</si>
  <si>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</si>
  <si>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</si>
  <si>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</si>
  <si>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</si>
  <si>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</si>
  <si>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</si>
  <si>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</si>
  <si>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</si>
  <si>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</si>
  <si>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</si>
  <si>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</si>
  <si>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</si>
  <si>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</si>
  <si>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</si>
  <si>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</si>
  <si>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</si>
  <si>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</si>
  <si>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</si>
  <si>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</si>
  <si>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</si>
  <si>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</si>
  <si>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</si>
  <si>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</si>
  <si>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</si>
  <si>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</si>
  <si>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</si>
  <si>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</si>
  <si>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</si>
  <si>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</si>
  <si>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</si>
  <si>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</si>
  <si>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</si>
  <si>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</si>
  <si>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</si>
  <si>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</si>
  <si>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</si>
  <si>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</si>
  <si>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</si>
  <si>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</si>
  <si>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</si>
  <si>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</si>
  <si>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</si>
  <si>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</si>
  <si>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</si>
  <si>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</si>
  <si>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</si>
  <si>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</si>
  <si>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</si>
  <si>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</si>
  <si>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</si>
  <si>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</si>
  <si>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</si>
  <si>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</si>
  <si>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</si>
  <si>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</si>
  <si>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</si>
  <si>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</si>
  <si>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</si>
  <si>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</si>
  <si>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</si>
  <si>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</si>
  <si>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</si>
  <si>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</si>
  <si>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</si>
  <si>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</si>
  <si>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</si>
  <si>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</si>
  <si>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</si>
  <si>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</si>
  <si>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</si>
  <si>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</si>
  <si>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</si>
  <si>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</si>
  <si>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</si>
  <si>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</si>
  <si>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</si>
  <si>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</si>
  <si>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</si>
  <si>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</si>
  <si>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</si>
  <si>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</si>
  <si>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</si>
  <si>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</si>
  <si>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</si>
  <si>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</si>
  <si>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</si>
  <si>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</si>
  <si>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</si>
  <si>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</si>
  <si>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</si>
  <si>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</si>
  <si>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</si>
  <si>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</si>
  <si>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</si>
  <si>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</si>
  <si>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</si>
  <si>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</si>
  <si>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</si>
  <si>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</si>
  <si>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</si>
  <si>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</si>
  <si>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</si>
  <si>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</si>
  <si>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</si>
  <si>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</si>
  <si>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</si>
  <si>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</si>
  <si>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</si>
  <si>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</si>
  <si>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</si>
  <si>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</si>
  <si>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</si>
  <si>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</si>
  <si>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</si>
  <si>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</si>
  <si>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</si>
  <si>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</si>
  <si>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</si>
  <si>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</si>
  <si>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</si>
  <si>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</si>
  <si>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</si>
  <si>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</si>
  <si>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</si>
  <si>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</si>
  <si>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</si>
  <si>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</si>
  <si>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</si>
  <si>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</si>
  <si>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</si>
  <si>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</si>
  <si>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</si>
  <si>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</si>
  <si>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</si>
  <si>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</si>
  <si>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</si>
  <si>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</si>
  <si>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</si>
  <si>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</si>
  <si>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</si>
  <si>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</si>
  <si>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</si>
  <si>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</si>
  <si>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</si>
  <si>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</si>
  <si>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</si>
  <si>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</si>
  <si>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</si>
  <si>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</si>
  <si>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</si>
  <si>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</si>
  <si>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</si>
  <si>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</si>
  <si>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</si>
  <si>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</si>
  <si>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</si>
  <si>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</si>
  <si>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</si>
  <si>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</si>
  <si>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</si>
  <si>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</si>
  <si>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</si>
  <si>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</si>
  <si>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</si>
  <si>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</si>
  <si>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</si>
  <si>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</si>
  <si>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</si>
  <si>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</si>
  <si>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</si>
  <si>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</si>
  <si>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</si>
  <si>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</si>
  <si>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</si>
  <si>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</si>
  <si>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</si>
  <si>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</si>
  <si>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</si>
  <si>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</si>
  <si>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</si>
  <si>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</si>
  <si>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</si>
  <si>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</si>
  <si>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</si>
  <si>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</si>
  <si>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</si>
  <si>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</si>
  <si>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</si>
  <si>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</si>
  <si>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</si>
  <si>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</si>
  <si>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</si>
  <si>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</si>
  <si>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</si>
  <si>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</si>
  <si>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</si>
  <si>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</si>
  <si>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</si>
  <si>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</si>
  <si>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</si>
  <si>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</si>
  <si>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</si>
  <si>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</si>
  <si>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</si>
  <si>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</si>
  <si>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</si>
  <si>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</si>
  <si>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</si>
  <si>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</si>
  <si>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</si>
  <si>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</si>
  <si>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</si>
  <si>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</si>
  <si>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</si>
  <si>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</si>
  <si>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</si>
  <si>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</si>
  <si>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</si>
  <si>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</si>
  <si>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</si>
  <si>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</si>
  <si>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</si>
  <si>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</si>
  <si>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</si>
  <si>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</si>
  <si>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</si>
  <si>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</si>
  <si>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</si>
  <si>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</si>
  <si>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</si>
  <si>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</si>
  <si>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</si>
  <si>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</si>
  <si>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</si>
  <si>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</si>
  <si>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</si>
  <si>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</si>
  <si>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</si>
  <si>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</si>
  <si>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</si>
  <si>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</si>
  <si>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</si>
  <si>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</si>
  <si>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</si>
  <si>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</si>
  <si>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</si>
  <si>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</si>
  <si>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</si>
  <si>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</si>
  <si>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</si>
  <si>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</si>
  <si>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</si>
  <si>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</si>
  <si>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</si>
  <si>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</si>
  <si>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</si>
  <si>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</si>
  <si>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</si>
  <si>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</si>
  <si>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</si>
  <si>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</si>
  <si>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</si>
  <si>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</si>
  <si>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</si>
  <si>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</si>
  <si>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</si>
  <si>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</si>
  <si>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</si>
  <si>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</si>
  <si>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</si>
  <si>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</si>
  <si>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</si>
  <si>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</si>
  <si>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</si>
  <si>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</si>
  <si>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</si>
  <si>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</si>
  <si>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</si>
  <si>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</si>
  <si>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</si>
  <si>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</si>
  <si>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</si>
  <si>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</si>
  <si>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</si>
  <si>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</si>
  <si>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</si>
  <si>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</si>
  <si>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</si>
  <si>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</si>
  <si>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</si>
  <si>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</si>
  <si>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</si>
  <si>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</si>
  <si>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</si>
  <si>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</si>
  <si>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</si>
  <si>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</si>
  <si>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</si>
  <si>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</si>
  <si>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</si>
  <si>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</si>
  <si>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</si>
  <si>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</si>
  <si>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</si>
  <si>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</si>
  <si>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</si>
  <si>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</si>
  <si>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</si>
  <si>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</si>
  <si>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</si>
  <si>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</si>
  <si>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</si>
  <si>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</si>
  <si>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</si>
  <si>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</si>
  <si>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</si>
  <si>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</si>
  <si>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</si>
  <si>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</si>
  <si>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</si>
  <si>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</si>
  <si>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</si>
  <si>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</si>
  <si>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</si>
  <si>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</si>
  <si>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</si>
  <si>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</si>
  <si>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</si>
  <si>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</si>
  <si>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</si>
  <si>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</si>
  <si>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</si>
  <si>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</si>
  <si>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</si>
  <si>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</si>
  <si>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</si>
  <si>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</si>
  <si>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</si>
  <si>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</si>
  <si>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</si>
  <si>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</si>
  <si>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</si>
  <si>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</si>
  <si>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</si>
  <si>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</si>
  <si>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</si>
  <si>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</si>
  <si>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</si>
  <si>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</si>
  <si>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</si>
  <si>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</si>
  <si>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</si>
  <si>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</si>
  <si>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</si>
  <si>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</si>
  <si>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</si>
  <si>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</si>
  <si>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</si>
  <si>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</si>
  <si>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</si>
  <si>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</si>
  <si>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</si>
  <si>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</si>
  <si>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</si>
  <si>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</si>
  <si>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</si>
  <si>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</si>
  <si>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</si>
  <si>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</si>
  <si>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</si>
  <si>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</si>
  <si>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</si>
  <si>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</si>
  <si>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</si>
  <si>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</si>
  <si>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</si>
  <si>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</si>
  <si>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</si>
  <si>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</si>
  <si>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</si>
  <si>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</si>
  <si>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</si>
  <si>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</si>
  <si>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</si>
  <si>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</si>
  <si>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</si>
  <si>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</si>
  <si>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</si>
  <si>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</si>
  <si>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</si>
  <si>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</si>
  <si>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</si>
  <si>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</si>
  <si>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</si>
  <si>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</si>
  <si>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</si>
  <si>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</si>
  <si>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</si>
  <si>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</si>
  <si>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</si>
  <si>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</si>
  <si>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</si>
  <si>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</si>
  <si>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</si>
  <si>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</si>
  <si>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</si>
  <si>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</si>
  <si>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</si>
  <si>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</si>
  <si>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</si>
  <si>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</si>
  <si>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</si>
  <si>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</si>
  <si>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</si>
  <si>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</si>
  <si>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</si>
  <si>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</si>
  <si>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</si>
  <si>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</si>
  <si>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</si>
  <si>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</si>
  <si>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</si>
  <si>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</si>
  <si>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</si>
  <si>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</si>
  <si>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</si>
  <si>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</si>
  <si>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</si>
  <si>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</si>
  <si>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</si>
  <si>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</si>
  <si>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</si>
  <si>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</si>
  <si>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</si>
  <si>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</si>
  <si>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</si>
  <si>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</si>
  <si>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</si>
  <si>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</si>
  <si>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</si>
  <si>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</si>
  <si>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</si>
  <si>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</si>
  <si>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</si>
  <si>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</si>
  <si>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</si>
  <si>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</si>
  <si>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</si>
  <si>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</si>
  <si>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</si>
  <si>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</si>
  <si>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</si>
  <si>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</si>
  <si>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</si>
  <si>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</si>
  <si>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</si>
  <si>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</si>
  <si>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</si>
  <si>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</si>
  <si>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</si>
  <si>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</si>
  <si>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</si>
  <si>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</si>
  <si>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</si>
  <si>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</si>
  <si>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</si>
  <si>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</si>
  <si>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</si>
  <si>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</si>
  <si>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</si>
  <si>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</si>
  <si>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</si>
  <si>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</si>
  <si>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</si>
  <si>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</si>
  <si>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</si>
  <si>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</si>
  <si>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</si>
  <si>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</si>
  <si>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</si>
  <si>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</si>
  <si>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</si>
  <si>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</si>
  <si>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</si>
  <si>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</si>
  <si>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</si>
  <si>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</si>
  <si>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</si>
  <si>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</si>
  <si>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</si>
  <si>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</si>
  <si>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</si>
  <si>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</si>
  <si>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</si>
  <si>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</si>
  <si>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</si>
  <si>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</si>
  <si>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</si>
  <si>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</si>
  <si>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</si>
  <si>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</si>
  <si>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</si>
  <si>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</si>
  <si>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</si>
  <si>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</si>
  <si>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</si>
  <si>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</si>
  <si>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</si>
  <si>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</si>
  <si>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</si>
  <si>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</si>
  <si>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</si>
  <si>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</si>
  <si>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</si>
  <si>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</si>
  <si>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</si>
  <si>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</si>
  <si>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</si>
  <si>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</si>
  <si>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</si>
  <si>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</si>
  <si>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</si>
  <si>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</si>
  <si>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</si>
  <si>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</si>
  <si>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</si>
  <si>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</si>
  <si>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</si>
  <si>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</si>
  <si>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</si>
  <si>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</si>
  <si>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</si>
  <si>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</si>
  <si>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</si>
  <si>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</si>
  <si>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</si>
  <si>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</si>
  <si>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</si>
  <si>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</si>
  <si>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</si>
  <si>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</si>
  <si>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</si>
  <si>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</si>
  <si>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</si>
  <si>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</si>
  <si>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</si>
  <si>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</si>
  <si>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</si>
  <si>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</si>
  <si>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</si>
  <si>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</si>
  <si>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</si>
  <si>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</si>
  <si>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</si>
  <si>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</si>
  <si>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</si>
  <si>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</si>
  <si>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</si>
  <si>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</si>
  <si>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</si>
  <si>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</si>
  <si>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</si>
  <si>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</si>
  <si>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</si>
  <si>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</si>
  <si>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</si>
  <si>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</si>
  <si>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</si>
  <si>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</si>
  <si>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</si>
  <si>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</si>
  <si>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</si>
  <si>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</si>
  <si>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</si>
  <si>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</si>
  <si>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</si>
  <si>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</si>
  <si>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</si>
  <si>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</si>
  <si>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</si>
  <si>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</si>
  <si>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</si>
  <si>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</si>
  <si>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</si>
  <si>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</si>
  <si>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</si>
  <si>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</si>
  <si>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</si>
  <si>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</si>
  <si>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</si>
  <si>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</si>
  <si>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</si>
  <si>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</si>
  <si>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</si>
  <si>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</si>
  <si>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</si>
  <si>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</si>
  <si>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</si>
  <si>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</si>
  <si>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</si>
  <si>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</si>
  <si>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</si>
  <si>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</si>
  <si>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</si>
  <si>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</si>
  <si>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</si>
  <si>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</si>
  <si>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</si>
  <si>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</si>
  <si>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</si>
  <si>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</si>
  <si>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</si>
  <si>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</si>
  <si>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</si>
  <si>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</si>
  <si>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</si>
  <si>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</si>
  <si>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</si>
  <si>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</si>
  <si>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</si>
  <si>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</si>
  <si>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</si>
  <si>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</si>
  <si>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</si>
  <si>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</si>
  <si>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</si>
  <si>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</si>
  <si>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</si>
  <si>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</si>
  <si>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</si>
  <si>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</si>
  <si>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</si>
  <si>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</si>
  <si>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</si>
  <si>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</si>
  <si>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</si>
  <si>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</si>
  <si>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</si>
  <si>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</si>
  <si>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</si>
  <si>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</si>
  <si>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</si>
  <si>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</si>
  <si>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</si>
  <si>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</si>
  <si>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</si>
  <si>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</si>
  <si>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</si>
  <si>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</si>
  <si>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</si>
  <si>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</si>
  <si>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</si>
  <si>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</si>
  <si>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</si>
  <si>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</si>
  <si>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</si>
  <si>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</si>
  <si>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</si>
  <si>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</si>
  <si>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</si>
  <si>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</si>
  <si>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</si>
  <si>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</si>
  <si>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</si>
  <si>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</si>
  <si>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</si>
  <si>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</si>
  <si>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</si>
  <si>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</si>
  <si>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</si>
  <si>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</si>
  <si>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</si>
  <si>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</si>
  <si>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</si>
  <si>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</si>
  <si>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</si>
  <si>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</si>
  <si>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</si>
  <si>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</si>
  <si>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</si>
  <si>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</si>
  <si>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</si>
  <si>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</si>
  <si>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</si>
  <si>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</si>
  <si>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</si>
  <si>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</si>
  <si>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</si>
  <si>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</si>
  <si>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</si>
  <si>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</si>
  <si>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</si>
  <si>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</si>
  <si>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</si>
  <si>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</si>
  <si>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</si>
  <si>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</si>
  <si>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</si>
  <si>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</si>
  <si>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</si>
  <si>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</si>
  <si>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</si>
  <si>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</si>
  <si>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</si>
  <si>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</si>
  <si>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</si>
  <si>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</si>
  <si>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</si>
  <si>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</si>
  <si>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</si>
  <si>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</si>
  <si>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</si>
  <si>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</si>
  <si>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</si>
  <si>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</si>
  <si>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</si>
  <si>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</si>
  <si>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</si>
  <si>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</si>
  <si>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</si>
  <si>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</si>
  <si>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</si>
  <si>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</si>
  <si>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</si>
  <si>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</si>
  <si>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</si>
  <si>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</si>
  <si>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</si>
  <si>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</si>
  <si>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</si>
  <si>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</si>
  <si>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</si>
  <si>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</si>
  <si>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</si>
  <si>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</si>
  <si>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</si>
  <si>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</si>
  <si>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</si>
  <si>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</si>
  <si>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</si>
  <si>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</si>
  <si>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</si>
  <si>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</si>
  <si>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</si>
  <si>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</si>
  <si>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</si>
  <si>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</si>
  <si>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</si>
  <si>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</si>
  <si>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</si>
  <si>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</si>
  <si>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</si>
  <si>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</si>
  <si>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</si>
  <si>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</si>
  <si>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</si>
  <si>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</si>
  <si>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</si>
  <si>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</si>
  <si>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</si>
  <si>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</si>
  <si>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</si>
  <si>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</si>
  <si>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</si>
  <si>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</si>
  <si>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</si>
  <si>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</si>
  <si>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</si>
  <si>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</si>
  <si>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</si>
  <si>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</si>
  <si>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</si>
  <si>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</si>
  <si>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</si>
  <si>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</si>
  <si>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</si>
  <si>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</si>
  <si>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</si>
  <si>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</si>
  <si>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</si>
  <si>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</si>
  <si>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</si>
  <si>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</si>
  <si>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</si>
  <si>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</si>
  <si>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</si>
  <si>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</si>
  <si>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</si>
  <si>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</si>
  <si>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</si>
  <si>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</si>
  <si>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</si>
  <si>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</si>
  <si>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</si>
  <si>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</si>
  <si>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</si>
  <si>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</si>
  <si>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</si>
  <si>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</si>
  <si>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</si>
  <si>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</si>
  <si>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</si>
  <si>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</si>
  <si>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</si>
  <si>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</si>
  <si>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</si>
  <si>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</si>
  <si>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</si>
  <si>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</si>
  <si>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</si>
  <si>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</si>
  <si>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</si>
  <si>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</si>
  <si>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</si>
  <si>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</si>
  <si>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</si>
  <si>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</si>
  <si>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</si>
  <si>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</si>
  <si>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</si>
  <si>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</si>
  <si>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</si>
  <si>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</si>
  <si>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</si>
  <si>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</si>
  <si>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</si>
  <si>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</si>
  <si>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</si>
  <si>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</si>
  <si>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</si>
  <si>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</si>
  <si>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</si>
  <si>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</si>
  <si>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</si>
  <si>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</si>
  <si>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</si>
  <si>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</si>
  <si>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</si>
  <si>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</si>
  <si>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</si>
  <si>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</si>
  <si>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</si>
  <si>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</si>
  <si>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</si>
  <si>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</si>
  <si>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</si>
  <si>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</si>
  <si>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</si>
  <si>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</si>
  <si>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</si>
  <si>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</si>
  <si>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</si>
  <si>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</si>
  <si>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</si>
  <si>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</si>
  <si>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</si>
  <si>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</si>
  <si>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</si>
  <si>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</si>
  <si>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</si>
  <si>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</si>
  <si>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</si>
  <si>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</si>
  <si>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</si>
  <si>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</si>
  <si>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</si>
  <si>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</si>
  <si>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</si>
  <si>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</si>
  <si>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</si>
  <si>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</si>
  <si>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</si>
  <si>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</si>
  <si>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</si>
  <si>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</si>
  <si>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</si>
  <si>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</si>
  <si>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</si>
  <si>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</si>
  <si>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</si>
  <si>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</si>
  <si>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</si>
  <si>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</si>
  <si>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</si>
  <si>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</si>
  <si>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</si>
  <si>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</si>
  <si>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</si>
  <si>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</si>
  <si>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</si>
  <si>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</si>
  <si>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</si>
  <si>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</si>
  <si>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</si>
  <si>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</si>
  <si>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</si>
  <si>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</si>
  <si>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</si>
  <si>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</si>
  <si>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</si>
  <si>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</si>
  <si>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</si>
  <si>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</si>
  <si>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</si>
  <si>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</si>
  <si>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</si>
  <si>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</si>
  <si>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</si>
  <si>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</si>
  <si>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</si>
  <si>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</si>
  <si>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</si>
  <si>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</si>
  <si>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</si>
  <si>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</si>
  <si>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</si>
  <si>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</si>
  <si>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</si>
  <si>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</si>
  <si>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</si>
  <si>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</si>
  <si>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</si>
  <si>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</si>
  <si>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</si>
  <si>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</si>
  <si>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</si>
  <si>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</si>
  <si>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</si>
  <si>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</si>
  <si>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</si>
  <si>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</si>
  <si>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</si>
  <si>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</si>
  <si>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</si>
  <si>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</si>
  <si>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</si>
  <si>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</si>
  <si>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</si>
  <si>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</si>
  <si>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</si>
  <si>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</si>
  <si>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</si>
  <si>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</si>
  <si>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</si>
  <si>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</si>
  <si>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</si>
  <si>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</si>
  <si>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</si>
  <si>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</si>
  <si>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</si>
  <si>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</si>
  <si>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</si>
  <si>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</si>
  <si>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</si>
  <si>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</si>
  <si>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</si>
  <si>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</si>
  <si>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</si>
  <si>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</si>
  <si>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</si>
  <si>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</si>
  <si>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</si>
  <si>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</si>
  <si>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</si>
  <si>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</si>
  <si>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</si>
  <si>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</si>
  <si>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</si>
  <si>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</si>
  <si>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</si>
  <si>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</si>
  <si>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</si>
  <si>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</si>
  <si>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</si>
  <si>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</si>
  <si>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</si>
  <si>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</si>
  <si>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</si>
  <si>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</si>
  <si>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</si>
  <si>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</si>
  <si>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</si>
  <si>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</si>
  <si>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</si>
  <si>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</si>
  <si>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</si>
  <si>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</si>
  <si>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</si>
  <si>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</si>
  <si>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</si>
  <si>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</si>
  <si>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</si>
  <si>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</si>
  <si>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</si>
  <si>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</si>
  <si>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</si>
  <si>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</si>
  <si>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</si>
  <si>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</si>
  <si>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</si>
  <si>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</si>
  <si>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</si>
  <si>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</si>
  <si>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</si>
  <si>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</si>
  <si>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</si>
  <si>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</si>
  <si>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</si>
  <si>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</si>
  <si>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</si>
  <si>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</si>
  <si>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</si>
  <si>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</si>
  <si>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</si>
  <si>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</si>
  <si>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</si>
  <si>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</si>
  <si>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</si>
  <si>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</si>
  <si>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</si>
  <si>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</si>
  <si>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</si>
  <si>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</si>
  <si>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</si>
  <si>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</si>
  <si>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</si>
  <si>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</si>
  <si>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</si>
  <si>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</si>
  <si>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</si>
  <si>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</si>
  <si>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</si>
  <si>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</si>
  <si>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</si>
  <si>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</si>
  <si>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</si>
  <si>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</si>
  <si>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</si>
  <si>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</si>
  <si>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</si>
  <si>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</si>
  <si>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</si>
  <si>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</si>
  <si>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</si>
  <si>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</si>
  <si>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</si>
  <si>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</si>
  <si>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</si>
  <si>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</si>
  <si>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</si>
  <si>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</si>
  <si>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</si>
  <si>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</si>
  <si>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</si>
  <si>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</si>
  <si>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</si>
  <si>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</si>
  <si>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</si>
  <si>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</si>
  <si>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</si>
  <si>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</si>
  <si>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</si>
  <si>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</si>
  <si>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</si>
  <si>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</si>
  <si>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</si>
  <si>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</si>
  <si>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</si>
  <si>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</si>
  <si>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</si>
  <si>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</si>
  <si>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</si>
  <si>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</si>
  <si>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</si>
  <si>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</si>
  <si>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</si>
  <si>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</si>
  <si>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</si>
  <si>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</si>
  <si>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</si>
  <si>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</si>
  <si>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</si>
  <si>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</si>
  <si>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</si>
  <si>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</si>
  <si>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</si>
  <si>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</si>
  <si>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</si>
  <si>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</si>
  <si>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</si>
  <si>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</si>
  <si>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</si>
  <si>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</si>
  <si>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</si>
  <si>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</si>
  <si>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</si>
  <si>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</si>
  <si>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</si>
  <si>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</si>
  <si>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</si>
  <si>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</si>
  <si>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</si>
  <si>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</si>
  <si>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</si>
  <si>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</si>
  <si>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</si>
  <si>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</si>
  <si>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</si>
  <si>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</si>
  <si>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</si>
  <si>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</si>
  <si>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</si>
  <si>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</si>
  <si>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</si>
  <si>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</si>
  <si>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</si>
  <si>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</si>
  <si>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</si>
  <si>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</si>
  <si>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</si>
  <si>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</si>
  <si>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</si>
  <si>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</si>
  <si>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</si>
  <si>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</si>
  <si>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</si>
  <si>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</si>
  <si>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</si>
  <si>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</si>
  <si>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</si>
  <si>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</si>
  <si>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</si>
  <si>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</si>
  <si>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</si>
  <si>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</si>
  <si>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</si>
  <si>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</si>
  <si>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</si>
  <si>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</si>
  <si>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</si>
  <si>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</si>
  <si>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</si>
  <si>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</si>
  <si>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</si>
  <si>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</si>
  <si>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</si>
  <si>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</si>
  <si>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</si>
  <si>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</si>
  <si>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</si>
  <si>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</si>
  <si>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</si>
  <si>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</si>
  <si>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</si>
  <si>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</si>
  <si>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</si>
  <si>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</si>
  <si>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</si>
  <si>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</si>
  <si>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</si>
  <si>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</si>
  <si>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</si>
  <si>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</si>
  <si>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</si>
  <si>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</si>
  <si>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</si>
  <si>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</si>
  <si>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</si>
  <si>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</si>
  <si>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</si>
  <si>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</si>
  <si>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</si>
  <si>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</si>
  <si>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</si>
  <si>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</si>
  <si>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</si>
  <si>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</si>
  <si>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</si>
  <si>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</si>
  <si>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</si>
  <si>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</si>
  <si>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</si>
  <si>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</si>
  <si>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</si>
  <si>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</si>
  <si>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</si>
  <si>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</si>
  <si>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</si>
  <si>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</si>
  <si>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</si>
  <si>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</si>
  <si>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</si>
  <si>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</si>
  <si>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</si>
  <si>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</si>
  <si>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</si>
  <si>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</si>
  <si>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</si>
  <si>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</si>
  <si>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</si>
  <si>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</si>
  <si>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</si>
  <si>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</si>
  <si>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</si>
  <si>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</si>
  <si>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</si>
  <si>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</si>
  <si>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</si>
  <si>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</si>
  <si>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</si>
  <si>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</si>
  <si>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</si>
  <si>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</si>
  <si>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</si>
  <si>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</si>
  <si>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</si>
  <si>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</si>
  <si>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</si>
  <si>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</si>
  <si>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</si>
  <si>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</si>
  <si>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</si>
  <si>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</si>
  <si>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</si>
  <si>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</si>
  <si>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</si>
  <si>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</si>
  <si>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</si>
  <si>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</si>
  <si>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</si>
  <si>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</si>
  <si>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</si>
  <si>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</si>
  <si>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</si>
  <si>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</si>
  <si>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</si>
  <si>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</si>
  <si>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</si>
  <si>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</si>
  <si>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</si>
  <si>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</si>
  <si>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</si>
  <si>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</si>
  <si>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</si>
  <si>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</si>
  <si>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</si>
  <si>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</si>
  <si>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</si>
  <si>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</si>
  <si>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</si>
  <si>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</si>
  <si>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</si>
  <si>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</si>
  <si>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</si>
  <si>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</si>
  <si>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</si>
  <si>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</si>
  <si>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</si>
  <si>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</si>
  <si>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</si>
  <si>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</si>
  <si>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</si>
  <si>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</si>
  <si>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</si>
  <si>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</si>
  <si>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</si>
  <si>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</si>
  <si>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</si>
  <si>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</si>
  <si>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</si>
  <si>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</si>
  <si>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</si>
  <si>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</si>
  <si>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</si>
  <si>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</si>
  <si>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</si>
  <si>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</si>
  <si>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</si>
  <si>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</si>
  <si>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</si>
  <si>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</si>
  <si>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</si>
  <si>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</si>
  <si>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</si>
  <si>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</si>
  <si>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</si>
  <si>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</si>
  <si>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</si>
  <si>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</si>
  <si>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</si>
  <si>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</si>
  <si>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</si>
  <si>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</si>
  <si>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</si>
  <si>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</si>
  <si>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</si>
  <si>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</si>
  <si>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</si>
  <si>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</si>
  <si>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</si>
  <si>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</si>
  <si>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</si>
  <si>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</si>
  <si>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</si>
  <si>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</si>
  <si>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</si>
  <si>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</si>
  <si>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</si>
  <si>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</si>
  <si>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</si>
  <si>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</si>
  <si>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</si>
  <si>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</si>
  <si>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</si>
  <si>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</si>
  <si>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</si>
  <si>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</si>
  <si>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</si>
  <si>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</si>
  <si>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</si>
  <si>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</si>
  <si>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</si>
  <si>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</si>
  <si>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</si>
  <si>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</si>
  <si>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</si>
  <si>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</si>
  <si>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</si>
  <si>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</si>
  <si>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</si>
  <si>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</si>
  <si>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</si>
  <si>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</si>
  <si>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</si>
  <si>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</si>
  <si>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</si>
  <si>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</si>
  <si>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</si>
  <si>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</si>
  <si>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</si>
  <si>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</si>
  <si>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</si>
  <si>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</si>
  <si>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</si>
  <si>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</si>
  <si>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</si>
  <si>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</si>
  <si>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</si>
  <si>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</si>
  <si>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</si>
  <si>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</si>
  <si>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</si>
  <si>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</si>
  <si>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</si>
  <si>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</si>
  <si>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</si>
  <si>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</si>
  <si>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</si>
  <si>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</si>
  <si>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</si>
  <si>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</si>
  <si>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</si>
  <si>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</si>
  <si>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</si>
  <si>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</si>
  <si>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</si>
  <si>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</si>
  <si>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</si>
  <si>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</si>
  <si>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</si>
  <si>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</si>
  <si>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</si>
  <si>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</si>
  <si>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</si>
  <si>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</si>
  <si>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</si>
  <si>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</si>
  <si>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</si>
  <si>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</si>
  <si>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</si>
  <si>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</si>
  <si>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</si>
  <si>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</si>
  <si>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</si>
  <si>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</si>
  <si>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</si>
  <si>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</si>
  <si>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</si>
  <si>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</si>
  <si>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</si>
  <si>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</si>
  <si>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</si>
  <si>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</si>
  <si>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</si>
  <si>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</si>
  <si>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</si>
  <si>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</si>
  <si>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</si>
  <si>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</si>
  <si>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</si>
  <si>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</si>
  <si>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</si>
  <si>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</si>
  <si>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</si>
  <si>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</si>
  <si>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</si>
  <si>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</si>
  <si>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</si>
  <si>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</si>
  <si>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</si>
  <si>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</si>
  <si>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</si>
  <si>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</si>
  <si>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</si>
  <si>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</si>
  <si>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</si>
  <si>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</si>
  <si>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</si>
  <si>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</si>
  <si>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</si>
  <si>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</si>
  <si>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</si>
  <si>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</si>
  <si>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</si>
  <si>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</si>
  <si>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</si>
  <si>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</si>
  <si>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</si>
  <si>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</si>
  <si>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</si>
  <si>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</si>
  <si>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</si>
  <si>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</si>
  <si>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</si>
  <si>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</si>
  <si>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</si>
  <si>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</si>
  <si>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</si>
  <si>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</si>
  <si>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</si>
  <si>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</si>
  <si>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</si>
  <si>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</si>
  <si>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</si>
  <si>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</si>
  <si>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</si>
  <si>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</si>
  <si>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</si>
  <si>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</si>
  <si>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</si>
  <si>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</si>
  <si>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</si>
  <si>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</si>
  <si>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</si>
  <si>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</si>
  <si>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</si>
  <si>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</si>
  <si>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</si>
  <si>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</si>
  <si>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</si>
  <si>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</si>
  <si>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</si>
  <si>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</si>
  <si>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</si>
  <si>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</si>
  <si>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</si>
  <si>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</si>
  <si>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</si>
  <si>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</si>
  <si>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</si>
  <si>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</si>
  <si>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</si>
  <si>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</si>
  <si>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</si>
  <si>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</si>
  <si>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</si>
  <si>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</si>
  <si>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</si>
  <si>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</si>
  <si>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</si>
  <si>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</si>
  <si>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</si>
  <si>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</si>
  <si>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</si>
  <si>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</si>
  <si>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</si>
  <si>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</si>
  <si>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</si>
  <si>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</si>
  <si>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</si>
  <si>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</si>
  <si>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</si>
  <si>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</si>
  <si>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</si>
  <si>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</si>
  <si>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</si>
  <si>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</si>
  <si>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</si>
  <si>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</si>
  <si>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</si>
  <si>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</si>
  <si>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</si>
  <si>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</si>
  <si>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</si>
  <si>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</si>
  <si>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</si>
  <si>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</si>
  <si>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</si>
  <si>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</si>
  <si>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</si>
  <si>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</si>
  <si>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</si>
  <si>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</si>
  <si>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</si>
  <si>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</si>
  <si>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</si>
  <si>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</si>
  <si>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</si>
  <si>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</si>
  <si>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</si>
  <si>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</si>
  <si>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</si>
  <si>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</si>
  <si>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</si>
  <si>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</si>
  <si>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</si>
  <si>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</si>
  <si>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</si>
  <si>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</si>
  <si>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</si>
  <si>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</si>
  <si>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</si>
  <si>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</si>
  <si>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</si>
  <si>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</si>
  <si>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</si>
  <si>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</si>
  <si>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</si>
  <si>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</si>
  <si>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</si>
  <si>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</si>
  <si>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</si>
  <si>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</si>
  <si>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</si>
  <si>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</si>
  <si>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</si>
  <si>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</si>
  <si>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</si>
  <si>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</si>
  <si>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</si>
  <si>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</si>
  <si>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</si>
  <si>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</si>
  <si>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</si>
  <si>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</si>
  <si>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</si>
  <si>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</si>
  <si>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</si>
  <si>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</si>
  <si>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</si>
  <si>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</si>
  <si>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</si>
  <si>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</si>
  <si>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</si>
  <si>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</si>
  <si>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</si>
  <si>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</si>
  <si>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</si>
  <si>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</si>
  <si>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</si>
  <si>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</si>
  <si>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</si>
  <si>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</si>
  <si>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</si>
  <si>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</si>
  <si>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</si>
  <si>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</si>
  <si>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</si>
  <si>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</si>
  <si>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</si>
  <si>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</si>
  <si>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</si>
  <si>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</si>
  <si>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</si>
  <si>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</si>
  <si>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</si>
  <si>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</si>
  <si>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</si>
  <si>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</si>
  <si>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</si>
  <si>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</si>
  <si>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</si>
  <si>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</si>
  <si>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</si>
  <si>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</si>
  <si>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</si>
  <si>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</si>
  <si>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</si>
  <si>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</si>
  <si>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</si>
  <si>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</si>
  <si>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</si>
  <si>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</si>
  <si>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</si>
  <si>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</si>
  <si>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</si>
  <si>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</si>
  <si>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</si>
  <si>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</si>
  <si>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</si>
  <si>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</si>
  <si>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</si>
  <si>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</si>
  <si>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</si>
  <si>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</si>
  <si>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</si>
  <si>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</si>
  <si>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</si>
  <si>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</si>
  <si>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</si>
  <si>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</si>
  <si>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</si>
  <si>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</si>
  <si>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</si>
  <si>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</si>
  <si>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</si>
  <si>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</si>
  <si>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</si>
  <si>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</si>
  <si>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</si>
  <si>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</si>
  <si>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</si>
  <si>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</si>
  <si>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</si>
  <si>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</si>
  <si>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</si>
  <si>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</si>
  <si>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</si>
  <si>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</si>
  <si>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</si>
  <si>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</si>
  <si>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</si>
  <si>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</si>
  <si>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</si>
  <si>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</si>
  <si>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</si>
  <si>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</si>
  <si>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</si>
  <si>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</si>
  <si>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</si>
  <si>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</si>
  <si>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</si>
  <si>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</si>
  <si>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</si>
  <si>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</si>
  <si>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</si>
  <si>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</si>
  <si>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</si>
  <si>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</si>
  <si>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</si>
  <si>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</si>
  <si>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</si>
  <si>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</si>
  <si>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</si>
  <si>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</si>
  <si>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</si>
  <si>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</si>
  <si>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</si>
  <si>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</si>
  <si>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</si>
  <si>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</si>
  <si>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</si>
  <si>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</si>
  <si>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</si>
  <si>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</si>
  <si>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</si>
  <si>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</si>
  <si>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</si>
  <si>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</si>
  <si>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</si>
  <si>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</si>
  <si>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</si>
  <si>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</si>
  <si>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</si>
  <si>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</si>
  <si>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</si>
  <si>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</si>
  <si>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</si>
  <si>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</si>
  <si>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</si>
  <si>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</si>
  <si>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</si>
  <si>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</si>
  <si>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</si>
  <si>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</si>
  <si>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</si>
  <si>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</si>
  <si>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</si>
  <si>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</si>
  <si>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</si>
  <si>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</si>
  <si>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</si>
  <si>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</si>
  <si>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</si>
  <si>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</si>
  <si>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</si>
  <si>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</si>
  <si>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</si>
  <si>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</si>
  <si>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</si>
  <si>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</si>
  <si>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</si>
  <si>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</si>
  <si>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</si>
  <si>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</si>
  <si>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</si>
  <si>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</si>
  <si>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</si>
  <si>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</si>
  <si>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</si>
  <si>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</si>
  <si>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</si>
  <si>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</si>
  <si>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</si>
  <si>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</si>
  <si>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</si>
  <si>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</si>
  <si>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</si>
  <si>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</si>
  <si>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</si>
  <si>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</si>
  <si>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</si>
  <si>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</si>
  <si>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</si>
  <si>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</si>
  <si>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</si>
  <si>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</si>
  <si>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</si>
  <si>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</si>
  <si>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</si>
  <si>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</si>
  <si>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</si>
  <si>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</si>
  <si>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</si>
  <si>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</si>
  <si>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</si>
  <si>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</si>
  <si>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</si>
  <si>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</si>
  <si>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</si>
  <si>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</si>
  <si>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</si>
  <si>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</si>
  <si>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</si>
  <si>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</si>
  <si>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</si>
  <si>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</si>
  <si>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</si>
  <si>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</si>
  <si>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</si>
  <si>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</si>
  <si>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</si>
  <si>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</si>
  <si>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</si>
  <si>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</si>
  <si>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</si>
  <si>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</si>
  <si>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</si>
  <si>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</si>
  <si>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</si>
  <si>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</si>
  <si>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</si>
  <si>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</si>
  <si>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</si>
  <si>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</si>
  <si>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</si>
  <si>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</si>
  <si>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</si>
  <si>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</si>
  <si>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</si>
  <si>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</si>
  <si>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</si>
  <si>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</si>
  <si>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</si>
  <si>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</si>
  <si>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</si>
  <si>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</si>
  <si>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</si>
  <si>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</si>
  <si>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</si>
  <si>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</si>
  <si>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</si>
  <si>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</si>
  <si>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</si>
  <si>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</si>
  <si>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</si>
  <si>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</si>
  <si>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</si>
  <si>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</si>
  <si>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</si>
  <si>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</si>
  <si>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</si>
  <si>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</si>
  <si>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</si>
  <si>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</si>
  <si>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</si>
  <si>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</si>
  <si>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</si>
  <si>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</si>
  <si>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</si>
  <si>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</si>
  <si>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</si>
  <si>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</si>
  <si>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</si>
  <si>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</si>
  <si>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</si>
  <si>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</si>
  <si>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</si>
  <si>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</si>
  <si>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</si>
  <si>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</si>
  <si>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</si>
  <si>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</si>
  <si>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</si>
  <si>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</si>
  <si>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</si>
  <si>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</si>
  <si>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</si>
  <si>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</si>
  <si>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</si>
  <si>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</si>
  <si>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</si>
  <si>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</si>
  <si>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</si>
  <si>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</si>
  <si>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</si>
  <si>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</si>
  <si>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</si>
  <si>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</si>
  <si>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</si>
  <si>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</si>
  <si>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</si>
  <si>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</si>
  <si>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</si>
  <si>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</si>
  <si>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</si>
  <si>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</si>
  <si>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</si>
  <si>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</si>
  <si>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</si>
  <si>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</si>
  <si>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</si>
  <si>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</si>
  <si>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</si>
  <si>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</si>
  <si>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</si>
  <si>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</si>
  <si>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</si>
  <si>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</si>
  <si>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</si>
  <si>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</si>
  <si>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</si>
  <si>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</si>
  <si>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</si>
  <si>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</si>
  <si>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</si>
  <si>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</si>
  <si>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</si>
  <si>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</si>
  <si>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</si>
  <si>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</si>
  <si>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</si>
  <si>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</si>
  <si>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</si>
  <si>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</si>
  <si>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</si>
  <si>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</si>
  <si>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</si>
  <si>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</si>
  <si>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</si>
  <si>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</si>
  <si>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</si>
  <si>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</si>
  <si>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</si>
  <si>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</si>
  <si>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</si>
  <si>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</si>
  <si>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</si>
  <si>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</si>
  <si>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</si>
  <si>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</si>
  <si>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</si>
  <si>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</si>
  <si>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</si>
  <si>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</si>
  <si>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</si>
  <si>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</si>
  <si>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</si>
  <si>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</si>
  <si>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</si>
  <si>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</si>
  <si>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</si>
  <si>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</si>
  <si>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</si>
  <si>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</si>
  <si>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</si>
  <si>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</si>
  <si>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</si>
  <si>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</si>
  <si>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</si>
  <si>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</si>
  <si>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</si>
  <si>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</si>
  <si>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</si>
  <si>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</si>
  <si>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</si>
  <si>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</si>
  <si>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</si>
  <si>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</si>
  <si>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</si>
  <si>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</si>
  <si>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</si>
  <si>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</si>
  <si>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</si>
  <si>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</si>
  <si>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</si>
  <si>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</si>
  <si>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</si>
  <si>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</si>
  <si>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</si>
  <si>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</si>
  <si>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</si>
  <si>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</si>
  <si>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</si>
  <si>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</si>
  <si>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</si>
  <si>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</si>
  <si>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</si>
  <si>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</si>
  <si>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</si>
  <si>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</si>
  <si>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</si>
  <si>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</si>
  <si>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</si>
  <si>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</si>
  <si>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</si>
  <si>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</si>
  <si>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</si>
  <si>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</si>
  <si>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</si>
  <si>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</si>
  <si>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</si>
  <si>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</si>
  <si>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</si>
  <si>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</si>
  <si>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</si>
  <si>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</si>
  <si>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</si>
  <si>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</si>
  <si>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</si>
  <si>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</si>
  <si>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</si>
  <si>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</si>
  <si>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</si>
  <si>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</si>
  <si>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</si>
  <si>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</si>
  <si>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</si>
  <si>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</si>
  <si>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</si>
  <si>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</si>
  <si>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</si>
  <si>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</si>
  <si>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</si>
  <si>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</si>
  <si>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</si>
  <si>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</si>
  <si>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</si>
  <si>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</si>
  <si>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</si>
  <si>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</si>
  <si>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</si>
  <si>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</si>
  <si>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</si>
  <si>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</si>
  <si>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</si>
  <si>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</si>
  <si>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</si>
  <si>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</si>
  <si>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</si>
  <si>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</si>
  <si>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</si>
  <si>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</si>
  <si>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</si>
  <si>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</si>
  <si>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</si>
  <si>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</si>
  <si>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</si>
  <si>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</si>
  <si>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</si>
  <si>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</si>
  <si>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</si>
  <si>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</si>
  <si>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</si>
  <si>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</si>
  <si>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</si>
  <si>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</si>
  <si>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</si>
  <si>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</si>
  <si>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</si>
  <si>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</si>
  <si>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</si>
  <si>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</si>
  <si>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</si>
  <si>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</si>
  <si>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</si>
  <si>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</si>
  <si>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</si>
  <si>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</si>
  <si>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</si>
  <si>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</si>
  <si>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</si>
  <si>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</si>
  <si>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</si>
  <si>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</si>
  <si>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</si>
  <si>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</si>
  <si>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</si>
  <si>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</si>
  <si>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</si>
  <si>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</si>
  <si>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</si>
  <si>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</si>
  <si>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</si>
  <si>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</si>
  <si>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</si>
  <si>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</si>
  <si>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</si>
  <si>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</si>
  <si>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</si>
  <si>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</si>
  <si>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</si>
  <si>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</si>
  <si>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</si>
  <si>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</si>
  <si>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</si>
  <si>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</si>
  <si>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</si>
  <si>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</si>
  <si>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</si>
  <si>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</si>
  <si>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</si>
  <si>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</si>
  <si>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</si>
  <si>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</si>
  <si>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</si>
  <si>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</si>
  <si>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</si>
  <si>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</si>
  <si>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</si>
  <si>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</si>
  <si>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</si>
  <si>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</si>
  <si>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</si>
  <si>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</si>
  <si>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</si>
  <si>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</si>
  <si>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</si>
  <si>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</si>
  <si>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</si>
  <si>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</si>
  <si>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</si>
  <si>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</si>
  <si>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</si>
  <si>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</si>
  <si>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</si>
  <si>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</si>
  <si>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</si>
  <si>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</si>
  <si>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</si>
  <si>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</si>
  <si>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</si>
  <si>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</si>
  <si>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</si>
  <si>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</si>
  <si>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</si>
  <si>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</si>
  <si>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</si>
  <si>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</si>
  <si>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</si>
  <si>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</si>
  <si>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</si>
  <si>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</si>
  <si>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</si>
  <si>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</si>
  <si>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</si>
  <si>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</si>
  <si>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</si>
  <si>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</si>
  <si>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</si>
  <si>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</si>
  <si>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</si>
  <si>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</si>
  <si>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</si>
  <si>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</si>
  <si>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</si>
  <si>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</si>
  <si>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</si>
  <si>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</si>
  <si>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</si>
  <si>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</si>
  <si>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</si>
  <si>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</si>
  <si>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</si>
  <si>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</si>
  <si>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</si>
  <si>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</si>
  <si>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</si>
  <si>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</si>
  <si>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</si>
  <si>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</si>
  <si>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</si>
  <si>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</si>
  <si>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</si>
  <si>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</si>
  <si>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</si>
  <si>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</si>
  <si>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</si>
  <si>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</si>
  <si>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</si>
  <si>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</si>
  <si>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</si>
  <si>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</si>
  <si>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</si>
  <si>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</si>
  <si>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</si>
  <si>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</si>
  <si>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</si>
  <si>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</si>
  <si>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</si>
  <si>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</si>
  <si>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</si>
  <si>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</si>
  <si>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</si>
  <si>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</si>
  <si>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</si>
  <si>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</si>
  <si>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</si>
  <si>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</si>
  <si>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</si>
  <si>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</si>
  <si>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</si>
  <si>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</si>
  <si>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</si>
  <si>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</si>
  <si>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</si>
  <si>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</si>
  <si>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</si>
  <si>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</si>
  <si>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</si>
  <si>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</si>
  <si>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</si>
  <si>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</si>
  <si>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</si>
  <si>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</si>
  <si>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</si>
  <si>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</si>
  <si>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</si>
  <si>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</si>
  <si>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</si>
  <si>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</si>
  <si>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</si>
  <si>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</si>
  <si>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</si>
  <si>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</si>
  <si>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</si>
  <si>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</si>
  <si>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</si>
  <si>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</si>
  <si>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</si>
  <si>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</si>
  <si>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</si>
  <si>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</si>
  <si>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</si>
  <si>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</si>
  <si>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</si>
  <si>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</si>
  <si>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</si>
  <si>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</si>
  <si>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</si>
  <si>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</si>
  <si>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</si>
  <si>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</si>
  <si>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</si>
  <si>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</si>
  <si>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</si>
  <si>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</si>
  <si>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</si>
  <si>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</si>
  <si>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</si>
  <si>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</si>
  <si>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</si>
  <si>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</si>
  <si>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</si>
  <si>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</si>
  <si>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</si>
  <si>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</si>
  <si>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</si>
  <si>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</si>
  <si>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</si>
  <si>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</si>
  <si>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</si>
  <si>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</si>
  <si>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</si>
  <si>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</si>
  <si>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</si>
  <si>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</si>
  <si>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</si>
  <si>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</si>
  <si>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</si>
  <si>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</si>
  <si>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</si>
  <si>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</si>
  <si>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</si>
  <si>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</si>
  <si>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</si>
  <si>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</si>
  <si>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</si>
  <si>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</si>
  <si>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</si>
  <si>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</si>
  <si>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</si>
  <si>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</si>
  <si>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</si>
  <si>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</si>
  <si>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</si>
  <si>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</si>
  <si>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</si>
  <si>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</si>
  <si>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</si>
  <si>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</si>
  <si>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</si>
  <si>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</si>
  <si>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</si>
  <si>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</si>
  <si>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</si>
  <si>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</si>
  <si>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</si>
  <si>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</si>
  <si>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</si>
  <si>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</si>
  <si>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</si>
  <si>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</si>
  <si>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</si>
  <si>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</si>
  <si>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</si>
  <si>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</si>
  <si>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</si>
  <si>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</si>
  <si>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</si>
  <si>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</si>
  <si>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</si>
  <si>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</si>
  <si>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</si>
  <si>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</si>
  <si>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</si>
  <si>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</si>
  <si>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</si>
  <si>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</si>
  <si>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</si>
  <si>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</si>
  <si>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</si>
  <si>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</si>
  <si>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</si>
  <si>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</si>
  <si>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</si>
  <si>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</si>
  <si>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</si>
  <si>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</si>
  <si>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</si>
  <si>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</si>
  <si>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</si>
  <si>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</si>
  <si>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</si>
  <si>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</si>
  <si>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</si>
  <si>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</si>
  <si>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</si>
  <si>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</si>
  <si>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</si>
  <si>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</si>
  <si>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</si>
  <si>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</si>
  <si>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</si>
  <si>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</si>
  <si>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</si>
  <si>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</si>
  <si>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</si>
  <si>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</si>
  <si>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</si>
  <si>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</si>
  <si>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</si>
  <si>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</si>
  <si>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</si>
  <si>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</si>
  <si>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</si>
  <si>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</si>
  <si>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</si>
  <si>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</si>
  <si>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</si>
  <si>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</si>
  <si>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</si>
  <si>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</si>
  <si>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</si>
  <si>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</si>
  <si>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</si>
  <si>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</si>
  <si>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</si>
  <si>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</si>
  <si>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</si>
  <si>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</si>
  <si>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</si>
  <si>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</si>
  <si>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</si>
  <si>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</si>
  <si>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</si>
  <si>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</si>
  <si>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</si>
  <si>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</si>
  <si>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</si>
  <si>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</si>
  <si>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</si>
  <si>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</si>
  <si>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</si>
  <si>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</si>
  <si>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</si>
  <si>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</si>
  <si>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</si>
  <si>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</si>
  <si>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</si>
  <si>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</si>
  <si>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</si>
  <si>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</si>
  <si>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</si>
  <si>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</si>
  <si>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</si>
  <si>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</si>
  <si>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</si>
  <si>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</si>
  <si>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</si>
  <si>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</si>
  <si>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</si>
  <si>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</si>
  <si>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</si>
  <si>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</si>
  <si>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</si>
  <si>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</si>
  <si>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</si>
  <si>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</si>
  <si>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</si>
  <si>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</si>
  <si>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</si>
  <si>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</si>
  <si>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</si>
  <si>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</si>
  <si>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</si>
  <si>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</si>
  <si>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</si>
  <si>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</si>
  <si>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</si>
  <si>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</si>
  <si>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</si>
  <si>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</si>
  <si>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</si>
  <si>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</si>
  <si>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</si>
  <si>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</si>
  <si>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</si>
  <si>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</si>
  <si>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</si>
  <si>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</si>
  <si>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</si>
  <si>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</si>
  <si>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</si>
  <si>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</si>
  <si>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</si>
  <si>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</si>
  <si>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</si>
  <si>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</si>
  <si>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</si>
  <si>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</si>
  <si>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</si>
  <si>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</si>
  <si>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</si>
  <si>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</si>
  <si>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</si>
  <si>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</si>
  <si>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</si>
  <si>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</si>
  <si>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</si>
  <si>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</si>
  <si>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</si>
  <si>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</si>
  <si>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</si>
  <si>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</si>
  <si>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</si>
  <si>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</si>
  <si>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</si>
  <si>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</si>
  <si>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</si>
  <si>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</si>
  <si>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</si>
  <si>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</si>
  <si>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CASALUNA</t>
  </si>
  <si>
    <t xml:space="preserve">Gavignano</t>
  </si>
  <si>
    <t xml:space="preserve">06213400</t>
  </si>
  <si>
    <t xml:space="preserve">7178d - RCS Corse 2015</t>
  </si>
  <si>
    <t xml:space="preserve">pl. courant</t>
  </si>
  <si>
    <t xml:space="preserve">pl. lent</t>
  </si>
  <si>
    <t xml:space="preserve">faible</t>
  </si>
  <si>
    <t xml:space="preserve">peu abondant</t>
  </si>
  <si>
    <t xml:space="preserve">Cf.</t>
  </si>
  <si>
    <t xml:space="preserve">NEWCOD</t>
  </si>
  <si>
    <t xml:space="preserve">Bryum bicolor</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</si>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</sst>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46" activeCellId="0" sqref="W4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42179</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12.5714285714286</v>
      </c>
      <c r="N5" s="352"/>
      <c r="O5" s="353" t="s">
        <v>132</v>
      </c>
      <c r="P5" s="354" t="n">
        <v>13.6666666666667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3</v>
      </c>
      <c r="P6" s="366" t="s">
        <v>3460</v>
      </c>
      <c r="Q6" s="367"/>
      <c r="R6" s="309"/>
      <c r="S6" s="309"/>
      <c r="T6" s="309"/>
      <c r="U6" s="309"/>
      <c r="V6" s="309"/>
      <c r="W6" s="323"/>
    </row>
    <row r="7" customFormat="false" ht="12.75" hidden="false" customHeight="false" outlineLevel="0" collapsed="false">
      <c r="A7" s="368" t="s">
        <v>3388</v>
      </c>
      <c r="B7" s="369" t="n">
        <v>85</v>
      </c>
      <c r="C7" s="370" t="n">
        <v>15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12.1666666666667</v>
      </c>
      <c r="P8" s="384" t="n">
        <f aca="false">IF(ISERROR(AVERAGE(K23:K82)),"  ",AVERAGE(K23:K82))</f>
        <v>1.58333333333333</v>
      </c>
      <c r="Q8" s="385"/>
      <c r="R8" s="309"/>
      <c r="S8" s="309"/>
      <c r="T8" s="309"/>
      <c r="U8" s="309"/>
      <c r="V8" s="309"/>
      <c r="W8" s="323"/>
    </row>
    <row r="9" customFormat="false" ht="12.75" hidden="false" customHeight="false" outlineLevel="0" collapsed="false">
      <c r="A9" s="342" t="s">
        <v>3394</v>
      </c>
      <c r="B9" s="386" t="n">
        <v>3.1</v>
      </c>
      <c r="C9" s="387" t="n">
        <v>1.2</v>
      </c>
      <c r="D9" s="388"/>
      <c r="E9" s="388"/>
      <c r="F9" s="389" t="n">
        <f aca="false">($B9*$B$7+$C9*$C$7)/100</f>
        <v>2.815</v>
      </c>
      <c r="G9" s="390"/>
      <c r="H9" s="345"/>
      <c r="I9" s="309"/>
      <c r="J9" s="391"/>
      <c r="K9" s="392"/>
      <c r="L9" s="375"/>
      <c r="M9" s="393"/>
      <c r="N9" s="383" t="s">
        <v>3395</v>
      </c>
      <c r="O9" s="384" t="n">
        <f aca="false">IF(ISERROR(STDEVP(J23:J82))," ",STDEVP(J23:J82))</f>
        <v>2.9953667926019</v>
      </c>
      <c r="P9" s="384" t="n">
        <f aca="false">IF(ISERROR(STDEVP(K23:K82)),"  ",STDEVP(K23:K82))</f>
        <v>0.759202798262025</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5</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4</v>
      </c>
      <c r="M13" s="409"/>
      <c r="N13" s="417" t="s">
        <v>3406</v>
      </c>
      <c r="O13" s="418" t="n">
        <f aca="false">COUNTIF(F23:F82,"&gt;0")</f>
        <v>17</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12</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6</v>
      </c>
      <c r="M15" s="409"/>
      <c r="N15" s="417" t="s">
        <v>3412</v>
      </c>
      <c r="O15" s="418" t="n">
        <f aca="false">COUNTIF(K23:K82,"=1")</f>
        <v>7</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0.764705882352941</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3.131</v>
      </c>
      <c r="C20" s="461" t="n">
        <f aca="false">SUM(C23:C62)</f>
        <v>1.145</v>
      </c>
      <c r="D20" s="462"/>
      <c r="E20" s="463" t="s">
        <v>3419</v>
      </c>
      <c r="F20" s="464" t="n">
        <f aca="false">($B20*$B$7+$C20*$C$7)/100</f>
        <v>2.8331</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2.66135</v>
      </c>
      <c r="C21" s="472" t="n">
        <f aca="false">C20*C7/100</f>
        <v>0.17175</v>
      </c>
      <c r="D21" s="473" t="s">
        <v>3422</v>
      </c>
      <c r="E21" s="474"/>
      <c r="F21" s="475" t="n">
        <f aca="false">B21+C21</f>
        <v>2.8331</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3</v>
      </c>
      <c r="C23" s="502" t="n">
        <v>1</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2.7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2.7</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193</v>
      </c>
      <c r="B24" s="519" t="n">
        <v>0.005</v>
      </c>
      <c r="C24" s="520"/>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0.00425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0.00425</v>
      </c>
      <c r="S24" s="514" t="n">
        <f aca="false">IF(OR(ISTEXT(H24),R24=0),"",IF(R24&lt;0.1,1,IF(R24&lt;1,2,IF(R24&lt;10,3,IF(R24&lt;50,4,IF(R24&gt;=50,5,""))))))</f>
        <v>1</v>
      </c>
      <c r="T24" s="514" t="n">
        <f aca="false">IF(ISERROR(S24*J24),0,S24*J24)</f>
        <v>15</v>
      </c>
      <c r="U24" s="514" t="n">
        <f aca="false">IF(ISERROR(S24*J24*K24),0,S24*J24*K24)</f>
        <v>30</v>
      </c>
      <c r="V24" s="530" t="n">
        <f aca="false">IF(ISERROR(S24*K24),0,S24*K24)</f>
        <v>2</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215</v>
      </c>
      <c r="B25" s="519" t="n">
        <v>0.005</v>
      </c>
      <c r="C25" s="520"/>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0.00425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0.00425</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289</v>
      </c>
      <c r="B26" s="519" t="n">
        <v>0.005</v>
      </c>
      <c r="C26" s="520" t="n">
        <v>0.005</v>
      </c>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0.005</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353</v>
      </c>
      <c r="B27" s="519" t="n">
        <v>0.005</v>
      </c>
      <c r="C27" s="520"/>
      <c r="D27" s="521" t="str">
        <f aca="false">IF(ISERROR(VLOOKUP($A27,'liste reference'!$A$6:$B$1174,2,0)),IF(ISERROR(VLOOKUP($A27,'liste reference'!$B$6:$B$1174,1,0)),"",VLOOKUP($A27,'liste reference'!$B$6:$B$1174,1,0)),VLOOKUP($A27,'liste reference'!$A$6:$B$1174,2,0))</f>
        <v>Tetraspora sp.</v>
      </c>
      <c r="E27" s="522" t="e">
        <f aca="false">IF(D27="",0,VLOOKUP(D27,D$22:D26,1,0))</f>
        <v>#N/A</v>
      </c>
      <c r="F27" s="523" t="n">
        <f aca="false">IF(AND(OR(A27="",A27="!!!!!!"),B27="",C27=""),"",IF(OR(AND(B27="",C27=""),ISERROR(C27+B27)),"!!!",($B27*$B$7+$C27*$C$7)/100))</f>
        <v>0.00425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12</v>
      </c>
      <c r="K27" s="526" t="n">
        <f aca="false">IF(ISNUMBER($H27),IF(ISERROR(VLOOKUP($A27,'liste reference'!$A$6:$Q$1174,7,0)),IF(ISERROR(VLOOKUP($A27,'liste reference'!$B$6:$Q$1174,6,0)),"nu",VLOOKUP($A27,'liste reference'!$B$6:$Q$1174,6,0)),VLOOKUP($A27,'liste reference'!$A$6:$Q$1174,7,0)),"nu")</f>
        <v>1</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Tetraspora sp.</v>
      </c>
      <c r="M27" s="533"/>
      <c r="N27" s="533"/>
      <c r="O27" s="533"/>
      <c r="P27" s="528" t="s">
        <v>3442</v>
      </c>
      <c r="Q27" s="529" t="n">
        <f aca="false">IF(OR($A27="NEWCOD",$A27="!!!!!!"),IF(X27="","NoCod",X27),IF($A27="","",IF(ISERROR(VLOOKUP($A27,'liste reference'!$A$6:$H$1174,8,FALSE())),IF(ISERROR(VLOOKUP($A27,'liste reference'!$B$6:$H$1174,7,FALSE())),"",VLOOKUP($A27,'liste reference'!$B$6:$H$1174,7,FALSE())),VLOOKUP($A27,'liste reference'!$A$6:$H$1174,8,FALSE()))))</f>
        <v>1138</v>
      </c>
      <c r="R27" s="513" t="n">
        <f aca="false">IF(ISTEXT(H27),"",(B27*$B$7/100)+(C27*$C$7/100))</f>
        <v>0.00425</v>
      </c>
      <c r="S27" s="514" t="n">
        <f aca="false">IF(OR(ISTEXT(H27),R27=0),"",IF(R27&lt;0.1,1,IF(R27&lt;1,2,IF(R27&lt;10,3,IF(R27&lt;50,4,IF(R27&gt;=50,5,""))))))</f>
        <v>1</v>
      </c>
      <c r="T27" s="514" t="n">
        <f aca="false">IF(ISERROR(S27*J27),0,S27*J27)</f>
        <v>12</v>
      </c>
      <c r="U27" s="514" t="n">
        <f aca="false">IF(ISERROR(S27*J27*K27),0,S27*J27*K27)</f>
        <v>12</v>
      </c>
      <c r="V27" s="530" t="n">
        <f aca="false">IF(ISERROR(S27*K27),0,S27*K27)</f>
        <v>1</v>
      </c>
      <c r="W27" s="531"/>
      <c r="X27" s="532"/>
      <c r="Y27" s="517" t="str">
        <f aca="false">IF(AND(ISNUMBER(F27),OR(A27="",A27="!!!!!!")),"!!!!!!",IF(A27="new.cod","NEWCOD",IF(AND((Z27=""),ISTEXT(A27),A27&lt;&gt;"!!!!!!"),A27,IF(Z27="","",INDEX('liste reference'!$A$6:$A$1174,Z27)))))</f>
        <v>TETSPX</v>
      </c>
      <c r="Z27" s="499" t="n">
        <f aca="false">IF(ISERROR(MATCH(A27,'liste reference'!$A$6:$A$1174,0)),IF(ISERROR(MATCH(A27,'liste reference'!$B$6:$B$1174,0)),"",(MATCH(A27,'liste reference'!$B$6:$B$1174,0))),(MATCH(A27,'liste reference'!$A$6:$A$1174,0)))</f>
        <v>107</v>
      </c>
    </row>
    <row r="28" customFormat="false" ht="12.75" hidden="false" customHeight="false" outlineLevel="0" collapsed="false">
      <c r="A28" s="518" t="s">
        <v>721</v>
      </c>
      <c r="B28" s="519" t="n">
        <v>0.001</v>
      </c>
      <c r="C28" s="520"/>
      <c r="D28" s="521" t="str">
        <f aca="false">IF(ISERROR(VLOOKUP($A28,'liste reference'!$A$6:$B$1174,2,0)),IF(ISERROR(VLOOKUP($A28,'liste reference'!$B$6:$B$1174,1,0)),"",VLOOKUP($A28,'liste reference'!$B$6:$B$1174,1,0)),VLOOKUP($A28,'liste reference'!$A$6:$B$1174,2,0))</f>
        <v>Cratoneuron filicinum</v>
      </c>
      <c r="E28" s="522" t="e">
        <f aca="false">IF(D28="",0,VLOOKUP(D28,D$22:D27,1,0))</f>
        <v>#N/A</v>
      </c>
      <c r="F28" s="523" t="n">
        <f aca="false">IF(AND(OR(A28="",A28="!!!!!!"),B28="",C28=""),"",IF(OR(AND(B28="",C28=""),ISERROR(C28+B28)),"!!!",($B28*$B$7+$C28*$C$7)/100))</f>
        <v>0.00085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18</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Cratoneuron filicinum</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1233</v>
      </c>
      <c r="R28" s="513" t="n">
        <f aca="false">IF(ISTEXT(H28),"",(B28*$B$7/100)+(C28*$C$7/100))</f>
        <v>0.00085</v>
      </c>
      <c r="S28" s="514" t="n">
        <f aca="false">IF(OR(ISTEXT(H28),R28=0),"",IF(R28&lt;0.1,1,IF(R28&lt;1,2,IF(R28&lt;10,3,IF(R28&lt;50,4,IF(R28&gt;=50,5,""))))))</f>
        <v>1</v>
      </c>
      <c r="T28" s="514" t="n">
        <f aca="false">IF(ISERROR(S28*J28),0,S28*J28)</f>
        <v>18</v>
      </c>
      <c r="U28" s="514" t="n">
        <f aca="false">IF(ISERROR(S28*J28*K28),0,S28*J28*K28)</f>
        <v>54</v>
      </c>
      <c r="V28" s="530" t="n">
        <f aca="false">IF(ISERROR(S28*K28),0,S28*K28)</f>
        <v>3</v>
      </c>
      <c r="W28" s="531"/>
      <c r="X28" s="532"/>
      <c r="Y28" s="517" t="str">
        <f aca="false">IF(AND(ISNUMBER(F28),OR(A28="",A28="!!!!!!")),"!!!!!!",IF(A28="new.cod","NEWCOD",IF(AND((Z28=""),ISTEXT(A28),A28&lt;&gt;"!!!!!!"),A28,IF(Z28="","",INDEX('liste reference'!$A$6:$A$1174,Z28)))))</f>
        <v>CRAFIL</v>
      </c>
      <c r="Z28" s="499" t="n">
        <f aca="false">IF(ISERROR(MATCH(A28,'liste reference'!$A$6:$A$1174,0)),IF(ISERROR(MATCH(A28,'liste reference'!$B$6:$B$1174,0)),"",(MATCH(A28,'liste reference'!$B$6:$B$1174,0))),(MATCH(A28,'liste reference'!$A$6:$A$1174,0)))</f>
        <v>227</v>
      </c>
    </row>
    <row r="29" customFormat="false" ht="12.75" hidden="false" customHeight="false" outlineLevel="0" collapsed="false">
      <c r="A29" s="518" t="s">
        <v>828</v>
      </c>
      <c r="B29" s="519" t="n">
        <v>0.005</v>
      </c>
      <c r="C29" s="520"/>
      <c r="D29" s="521" t="str">
        <f aca="false">IF(ISERROR(VLOOKUP($A29,'liste reference'!$A$6:$B$1174,2,0)),IF(ISERROR(VLOOKUP($A29,'liste reference'!$B$6:$B$1174,1,0)),"",VLOOKUP($A29,'liste reference'!$B$6:$B$1174,1,0)),VLOOKUP($A29,'liste reference'!$A$6:$B$1174,2,0))</f>
        <v>Fissidens crassipes</v>
      </c>
      <c r="E29" s="522" t="e">
        <f aca="false">IF(D29="",0,VLOOKUP(D29,D$22:D28,1,0))</f>
        <v>#N/A</v>
      </c>
      <c r="F29" s="523" t="n">
        <f aca="false">IF(AND(OR(A29="",A29="!!!!!!"),B29="",C29=""),"",IF(OR(AND(B29="",C29=""),ISERROR(C29+B29)),"!!!",($B29*$B$7+$C29*$C$7)/100))</f>
        <v>0.00425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12</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Fissidens crassipes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1294</v>
      </c>
      <c r="R29" s="513" t="n">
        <f aca="false">IF(ISTEXT(H29),"",(B29*$B$7/100)+(C29*$C$7/100))</f>
        <v>0.00425</v>
      </c>
      <c r="S29" s="514" t="n">
        <f aca="false">IF(OR(ISTEXT(H29),R29=0),"",IF(R29&lt;0.1,1,IF(R29&lt;1,2,IF(R29&lt;10,3,IF(R29&lt;50,4,IF(R29&gt;=50,5,""))))))</f>
        <v>1</v>
      </c>
      <c r="T29" s="514" t="n">
        <f aca="false">IF(ISERROR(S29*J29),0,S29*J29)</f>
        <v>12</v>
      </c>
      <c r="U29" s="514" t="n">
        <f aca="false">IF(ISERROR(S29*J29*K29),0,S29*J29*K29)</f>
        <v>24</v>
      </c>
      <c r="V29" s="530" t="n">
        <f aca="false">IF(ISERROR(S29*K29),0,S29*K29)</f>
        <v>2</v>
      </c>
      <c r="W29" s="531"/>
      <c r="X29" s="532"/>
      <c r="Y29" s="517" t="str">
        <f aca="false">IF(AND(ISNUMBER(F29),OR(A29="",A29="!!!!!!")),"!!!!!!",IF(A29="new.cod","NEWCOD",IF(AND((Z29=""),ISTEXT(A29),A29&lt;&gt;"!!!!!!"),A29,IF(Z29="","",INDEX('liste reference'!$A$6:$A$1174,Z29)))))</f>
        <v>FISCRA</v>
      </c>
      <c r="Z29" s="499" t="n">
        <f aca="false">IF(ISERROR(MATCH(A29,'liste reference'!$A$6:$A$1174,0)),IF(ISERROR(MATCH(A29,'liste reference'!$B$6:$B$1174,0)),"",(MATCH(A29,'liste reference'!$B$6:$B$1174,0))),(MATCH(A29,'liste reference'!$A$6:$A$1174,0)))</f>
        <v>255</v>
      </c>
    </row>
    <row r="30" customFormat="false" ht="12.75" hidden="false" customHeight="false" outlineLevel="0" collapsed="false">
      <c r="A30" s="518" t="s">
        <v>892</v>
      </c>
      <c r="B30" s="519" t="n">
        <v>0.01</v>
      </c>
      <c r="C30" s="520" t="n">
        <v>0.005</v>
      </c>
      <c r="D30" s="521" t="str">
        <f aca="false">IF(ISERROR(VLOOKUP($A30,'liste reference'!$A$6:$B$1174,2,0)),IF(ISERROR(VLOOKUP($A30,'liste reference'!$B$6:$B$1174,1,0)),"",VLOOKUP($A30,'liste reference'!$B$6:$B$1174,1,0)),VLOOKUP($A30,'liste reference'!$A$6:$B$1174,2,0))</f>
        <v>Fontinalis hypnoides var. duriaei</v>
      </c>
      <c r="E30" s="522" t="e">
        <f aca="false">IF(D30="",0,VLOOKUP(D30,D$22:D29,1,0))</f>
        <v>#N/A</v>
      </c>
      <c r="F30" s="523" t="n">
        <f aca="false">IF(AND(OR(A30="",A30="!!!!!!"),B30="",C30=""),"",IF(OR(AND(B30="",C30=""),ISERROR(C30+B30)),"!!!",($B30*$B$7+$C30*$C$7)/100))</f>
        <v>0.00925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14</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hypnoides var. duriaei</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10215</v>
      </c>
      <c r="R30" s="513" t="n">
        <f aca="false">IF(ISTEXT(H30),"",(B30*$B$7/100)+(C30*$C$7/100))</f>
        <v>0.00925</v>
      </c>
      <c r="S30" s="514" t="n">
        <f aca="false">IF(OR(ISTEXT(H30),R30=0),"",IF(R30&lt;0.1,1,IF(R30&lt;1,2,IF(R30&lt;10,3,IF(R30&lt;50,4,IF(R30&gt;=50,5,""))))))</f>
        <v>1</v>
      </c>
      <c r="T30" s="514" t="n">
        <f aca="false">IF(ISERROR(S30*J30),0,S30*J30)</f>
        <v>14</v>
      </c>
      <c r="U30" s="514" t="n">
        <f aca="false">IF(ISERROR(S30*J30*K30),0,S30*J30*K30)</f>
        <v>42</v>
      </c>
      <c r="V30" s="530" t="n">
        <f aca="false">IF(ISERROR(S30*K30),0,S30*K30)</f>
        <v>3</v>
      </c>
      <c r="W30" s="531"/>
      <c r="X30" s="532"/>
      <c r="Y30" s="517" t="str">
        <f aca="false">IF(AND(ISNUMBER(F30),OR(A30="",A30="!!!!!!")),"!!!!!!",IF(A30="new.cod","NEWCOD",IF(AND((Z30=""),ISTEXT(A30),A30&lt;&gt;"!!!!!!"),A30,IF(Z30="","",INDEX('liste reference'!$A$6:$A$1174,Z30)))))</f>
        <v>FONHYD</v>
      </c>
      <c r="Z30" s="499" t="n">
        <f aca="false">IF(ISERROR(MATCH(A30,'liste reference'!$A$6:$A$1174,0)),IF(ISERROR(MATCH(A30,'liste reference'!$B$6:$B$1174,0)),"",(MATCH(A30,'liste reference'!$B$6:$B$1174,0))),(MATCH(A30,'liste reference'!$A$6:$A$1174,0)))</f>
        <v>275</v>
      </c>
    </row>
    <row r="31" customFormat="false" ht="12.75" hidden="false" customHeight="false" outlineLevel="0" collapsed="false">
      <c r="A31" s="518" t="s">
        <v>1120</v>
      </c>
      <c r="B31" s="519" t="n">
        <v>0.005</v>
      </c>
      <c r="C31" s="520"/>
      <c r="D31" s="521" t="str">
        <f aca="false">IF(ISERROR(VLOOKUP($A31,'liste reference'!$A$6:$B$1174,2,0)),IF(ISERROR(VLOOKUP($A31,'liste reference'!$B$6:$B$1174,1,0)),"",VLOOKUP($A31,'liste reference'!$B$6:$B$1174,1,0)),VLOOKUP($A31,'liste reference'!$A$6:$B$1174,2,0))</f>
        <v>Rhynchostegium riparioides</v>
      </c>
      <c r="E31" s="522" t="e">
        <f aca="false">IF(D31="",0,VLOOKUP(D31,D$22:D30,1,0))</f>
        <v>#N/A</v>
      </c>
      <c r="F31" s="523" t="n">
        <f aca="false">IF(AND(OR(A31="",A31="!!!!!!"),B31="",C31=""),"",IF(OR(AND(B31="",C31=""),ISERROR(C31+B31)),"!!!",($B31*$B$7+$C31*$C$7)/100))</f>
        <v>0.00425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Rhynchostegium riparioides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31691</v>
      </c>
      <c r="R31" s="513" t="n">
        <f aca="false">IF(ISTEXT(H31),"",(B31*$B$7/100)+(C31*$C$7/100))</f>
        <v>0.00425</v>
      </c>
      <c r="S31" s="514" t="n">
        <f aca="false">IF(OR(ISTEXT(H31),R31=0),"",IF(R31&lt;0.1,1,IF(R31&lt;1,2,IF(R31&lt;10,3,IF(R31&lt;50,4,IF(R31&gt;=50,5,""))))))</f>
        <v>1</v>
      </c>
      <c r="T31" s="514" t="n">
        <f aca="false">IF(ISERROR(S31*J31),0,S31*J31)</f>
        <v>12</v>
      </c>
      <c r="U31" s="514" t="n">
        <f aca="false">IF(ISERROR(S31*J31*K31),0,S31*J31*K31)</f>
        <v>12</v>
      </c>
      <c r="V31" s="530" t="n">
        <f aca="false">IF(ISERROR(S31*K31),0,S31*K31)</f>
        <v>1</v>
      </c>
      <c r="W31" s="531"/>
      <c r="X31" s="532"/>
      <c r="Y31" s="517" t="str">
        <f aca="false">IF(AND(ISNUMBER(F31),OR(A31="",A31="!!!!!!")),"!!!!!!",IF(A31="new.cod","NEWCOD",IF(AND((Z31=""),ISTEXT(A31),A31&lt;&gt;"!!!!!!"),A31,IF(Z31="","",INDEX('liste reference'!$A$6:$A$1174,Z31)))))</f>
        <v>RHYRIP</v>
      </c>
      <c r="Z31" s="499" t="n">
        <f aca="false">IF(ISERROR(MATCH(A31,'liste reference'!$A$6:$A$1174,0)),IF(ISERROR(MATCH(A31,'liste reference'!$B$6:$B$1174,0)),"",(MATCH(A31,'liste reference'!$B$6:$B$1174,0))),(MATCH(A31,'liste reference'!$A$6:$A$1174,0)))</f>
        <v>345</v>
      </c>
    </row>
    <row r="32" customFormat="false" ht="12.75" hidden="false" customHeight="false" outlineLevel="0" collapsed="false">
      <c r="A32" s="518" t="s">
        <v>1253</v>
      </c>
      <c r="B32" s="519" t="n">
        <v>0.01</v>
      </c>
      <c r="C32" s="520" t="n">
        <v>0.005</v>
      </c>
      <c r="D32" s="521" t="str">
        <f aca="false">IF(ISERROR(VLOOKUP($A32,'liste reference'!$A$6:$B$1174,2,0)),IF(ISERROR(VLOOKUP($A32,'liste reference'!$B$6:$B$1174,1,0)),"",VLOOKUP($A32,'liste reference'!$B$6:$B$1174,1,0)),VLOOKUP($A32,'liste reference'!$A$6:$B$1174,2,0))</f>
        <v>Equisetum arvense</v>
      </c>
      <c r="E32" s="522" t="e">
        <f aca="false">IF(D32="",0,VLOOKUP(D32,D$22:D31,1,0))</f>
        <v>#N/A</v>
      </c>
      <c r="F32" s="523" t="n">
        <f aca="false">IF(AND(OR(A32="",A32="!!!!!!"),B32="",C32=""),"",IF(OR(AND(B32="",C32=""),ISERROR(C32+B32)),"!!!",($B32*$B$7+$C32*$C$7)/100))</f>
        <v>0.00925</v>
      </c>
      <c r="G32" s="524" t="str">
        <f aca="false">IF(A32="","",IF(ISERROR(VLOOKUP($A32,'liste reference'!$A$6:$Q$1174,9,0)),IF(ISERROR(VLOOKUP($A32,'liste reference'!$B$6:$Q$1174,8,0)),"    -",VLOOKUP($A32,'liste reference'!$B$6:$Q$1174,8,0)),VLOOKUP($A32,'liste reference'!$A$6:$Q$1174,9,0)))</f>
        <v>PTE</v>
      </c>
      <c r="H32" s="525" t="n">
        <f aca="false">IF(A32="","x",IF(ISERROR(VLOOKUP($A32,'liste reference'!$A$6:$Q$1174,10,0)),IF(ISERROR(VLOOKUP($A32,'liste reference'!$B$6:$Q$1174,9,0)),"x",VLOOKUP($A32,'liste reference'!$B$6:$Q$1174,9,0)),VLOOKUP($A32,'liste reference'!$A$6:$Q$1174,10,0)))</f>
        <v>6</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Equisetum arvense</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1384</v>
      </c>
      <c r="R32" s="513" t="n">
        <f aca="false">IF(ISTEXT(H32),"",(B32*$B$7/100)+(C32*$C$7/100))</f>
        <v>0.00925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EQUARV</v>
      </c>
      <c r="Z32" s="499" t="n">
        <f aca="false">IF(ISERROR(MATCH(A32,'liste reference'!$A$6:$A$1174,0)),IF(ISERROR(MATCH(A32,'liste reference'!$B$6:$B$1174,0)),"",(MATCH(A32,'liste reference'!$B$6:$B$1174,0))),(MATCH(A32,'liste reference'!$A$6:$A$1174,0)))</f>
        <v>385</v>
      </c>
    </row>
    <row r="33" customFormat="false" ht="12.75" hidden="false" customHeight="false" outlineLevel="0" collapsed="false">
      <c r="A33" s="518" t="s">
        <v>1930</v>
      </c>
      <c r="B33" s="519" t="n">
        <v>0.01</v>
      </c>
      <c r="C33" s="520" t="n">
        <v>0.01</v>
      </c>
      <c r="D33" s="521" t="str">
        <f aca="false">IF(ISERROR(VLOOKUP($A33,'liste reference'!$A$6:$B$1174,2,0)),IF(ISERROR(VLOOKUP($A33,'liste reference'!$B$6:$B$1174,1,0)),"",VLOOKUP($A33,'liste reference'!$B$6:$B$1174,1,0)),VLOOKUP($A33,'liste reference'!$A$6:$B$1174,2,0))</f>
        <v>Agrostis stolonifera</v>
      </c>
      <c r="E33" s="522" t="e">
        <f aca="false">IF(D33="",0,VLOOKUP(D33,D$22:D32,1,0))</f>
        <v>#N/A</v>
      </c>
      <c r="F33" s="523" t="n">
        <f aca="false">IF(AND(OR(A33="",A33="!!!!!!"),B33="",C33=""),"",IF(OR(AND(B33="",C33=""),ISERROR(C33+B33)),"!!!",($B33*$B$7+$C33*$C$7)/100))</f>
        <v>0.01</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Agrostis stolonifera</v>
      </c>
      <c r="M33" s="527"/>
      <c r="N33" s="527"/>
      <c r="O33" s="527"/>
      <c r="P33" s="528" t="s">
        <v>3462</v>
      </c>
      <c r="Q33" s="529" t="n">
        <f aca="false">IF(OR($A33="NEWCOD",$A33="!!!!!!"),IF(X33="","NoCod",X33),IF($A33="","",IF(ISERROR(VLOOKUP($A33,'liste reference'!$A$6:$H$1174,8,FALSE())),IF(ISERROR(VLOOKUP($A33,'liste reference'!$B$6:$H$1174,7,FALSE())),"",VLOOKUP($A33,'liste reference'!$B$6:$H$1174,7,FALSE())),VLOOKUP($A33,'liste reference'!$A$6:$H$1174,8,FALSE()))))</f>
        <v>1543</v>
      </c>
      <c r="R33" s="513" t="n">
        <f aca="false">IF(ISTEXT(H33),"",(B33*$B$7/100)+(C33*$C$7/100))</f>
        <v>0.01</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AGRSTO</v>
      </c>
      <c r="Z33" s="499" t="n">
        <f aca="false">IF(ISERROR(MATCH(A33,'liste reference'!$A$6:$A$1174,0)),IF(ISERROR(MATCH(A33,'liste reference'!$B$6:$B$1174,0)),"",(MATCH(A33,'liste reference'!$B$6:$B$1174,0))),(MATCH(A33,'liste reference'!$A$6:$A$1174,0)))</f>
        <v>623</v>
      </c>
    </row>
    <row r="34" customFormat="false" ht="12.75" hidden="false" customHeight="false" outlineLevel="0" collapsed="false">
      <c r="A34" s="518" t="s">
        <v>2130</v>
      </c>
      <c r="B34" s="519" t="n">
        <v>0.005</v>
      </c>
      <c r="C34" s="520" t="n">
        <v>0.005</v>
      </c>
      <c r="D34" s="521" t="str">
        <f aca="false">IF(ISERROR(VLOOKUP($A34,'liste reference'!$A$6:$B$1174,2,0)),IF(ISERROR(VLOOKUP($A34,'liste reference'!$B$6:$B$1174,1,0)),"",VLOOKUP($A34,'liste reference'!$B$6:$B$1174,1,0)),VLOOKUP($A34,'liste reference'!$A$6:$B$1174,2,0))</f>
        <v>Lycopus europaeus</v>
      </c>
      <c r="E34" s="522" t="e">
        <f aca="false">IF(D34="",0,VLOOKUP(D34,D$22:D33,1,0))</f>
        <v>#N/A</v>
      </c>
      <c r="F34" s="523" t="n">
        <f aca="false">IF(AND(OR(A34="",A34="!!!!!!"),B34="",C34=""),"",IF(OR(AND(B34="",C34=""),ISERROR(C34+B34)),"!!!",($B34*$B$7+$C34*$C$7)/100))</f>
        <v>0.005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11</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Lycopus europaeus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1789</v>
      </c>
      <c r="R34" s="513" t="n">
        <f aca="false">IF(ISTEXT(H34),"",(B34*$B$7/100)+(C34*$C$7/100))</f>
        <v>0.005</v>
      </c>
      <c r="S34" s="514" t="n">
        <f aca="false">IF(OR(ISTEXT(H34),R34=0),"",IF(R34&lt;0.1,1,IF(R34&lt;1,2,IF(R34&lt;10,3,IF(R34&lt;50,4,IF(R34&gt;=50,5,""))))))</f>
        <v>1</v>
      </c>
      <c r="T34" s="514" t="n">
        <f aca="false">IF(ISERROR(S34*J34),0,S34*J34)</f>
        <v>11</v>
      </c>
      <c r="U34" s="514" t="n">
        <f aca="false">IF(ISERROR(S34*J34*K34),0,S34*J34*K34)</f>
        <v>11</v>
      </c>
      <c r="V34" s="530" t="n">
        <f aca="false">IF(ISERROR(S34*K34),0,S34*K34)</f>
        <v>1</v>
      </c>
      <c r="W34" s="531"/>
      <c r="X34" s="532"/>
      <c r="Y34" s="517" t="str">
        <f aca="false">IF(AND(ISNUMBER(F34),OR(A34="",A34="!!!!!!")),"!!!!!!",IF(A34="new.cod","NEWCOD",IF(AND((Z34=""),ISTEXT(A34),A34&lt;&gt;"!!!!!!"),A34,IF(Z34="","",INDEX('liste reference'!$A$6:$A$1174,Z34)))))</f>
        <v>LYCEUR</v>
      </c>
      <c r="Z34" s="499" t="n">
        <f aca="false">IF(ISERROR(MATCH(A34,'liste reference'!$A$6:$A$1174,0)),IF(ISERROR(MATCH(A34,'liste reference'!$B$6:$B$1174,0)),"",(MATCH(A34,'liste reference'!$B$6:$B$1174,0))),(MATCH(A34,'liste reference'!$A$6:$A$1174,0)))</f>
        <v>692</v>
      </c>
    </row>
    <row r="35" customFormat="false" ht="12.75" hidden="false" customHeight="false" outlineLevel="0" collapsed="false">
      <c r="A35" s="518" t="s">
        <v>2134</v>
      </c>
      <c r="B35" s="519" t="n">
        <v>0.05</v>
      </c>
      <c r="C35" s="520" t="n">
        <v>0.1</v>
      </c>
      <c r="D35" s="521" t="str">
        <f aca="false">IF(ISERROR(VLOOKUP($A35,'liste reference'!$A$6:$B$1174,2,0)),IF(ISERROR(VLOOKUP($A35,'liste reference'!$B$6:$B$1174,1,0)),"",VLOOKUP($A35,'liste reference'!$B$6:$B$1174,1,0)),VLOOKUP($A35,'liste reference'!$A$6:$B$1174,2,0))</f>
        <v>Mentha aquatica</v>
      </c>
      <c r="E35" s="522" t="e">
        <f aca="false">IF(D35="",0,VLOOKUP(D35,D$22:D34,1,0))</f>
        <v>#N/A</v>
      </c>
      <c r="F35" s="523" t="n">
        <f aca="false">IF(AND(OR(A35="",A35="!!!!!!"),B35="",C35=""),"",IF(OR(AND(B35="",C35=""),ISERROR(C35+B35)),"!!!",($B35*$B$7+$C35*$C$7)/100))</f>
        <v>0.0575</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Mentha aquatica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1791</v>
      </c>
      <c r="R35" s="513" t="n">
        <f aca="false">IF(ISTEXT(H35),"",(B35*$B$7/100)+(C35*$C$7/100))</f>
        <v>0.0575</v>
      </c>
      <c r="S35" s="514" t="n">
        <f aca="false">IF(OR(ISTEXT(H35),R35=0),"",IF(R35&lt;0.1,1,IF(R35&lt;1,2,IF(R35&lt;10,3,IF(R35&lt;50,4,IF(R35&gt;=50,5,""))))))</f>
        <v>1</v>
      </c>
      <c r="T35" s="514" t="n">
        <f aca="false">IF(ISERROR(S35*J35),0,S35*J35)</f>
        <v>12</v>
      </c>
      <c r="U35" s="514" t="n">
        <f aca="false">IF(ISERROR(S35*J35*K35),0,S35*J35*K35)</f>
        <v>12</v>
      </c>
      <c r="V35" s="530" t="n">
        <f aca="false">IF(ISERROR(S35*K35),0,S35*K35)</f>
        <v>1</v>
      </c>
      <c r="W35" s="531"/>
      <c r="X35" s="532"/>
      <c r="Y35" s="517" t="str">
        <f aca="false">IF(AND(ISNUMBER(F35),OR(A35="",A35="!!!!!!")),"!!!!!!",IF(A35="new.cod","NEWCOD",IF(AND((Z35=""),ISTEXT(A35),A35&lt;&gt;"!!!!!!"),A35,IF(Z35="","",INDEX('liste reference'!$A$6:$A$1174,Z35)))))</f>
        <v>MENAQU</v>
      </c>
      <c r="Z35" s="499" t="n">
        <f aca="false">IF(ISERROR(MATCH(A35,'liste reference'!$A$6:$A$1174,0)),IF(ISERROR(MATCH(A35,'liste reference'!$B$6:$B$1174,0)),"",(MATCH(A35,'liste reference'!$B$6:$B$1174,0))),(MATCH(A35,'liste reference'!$A$6:$A$1174,0)))</f>
        <v>694</v>
      </c>
    </row>
    <row r="36" customFormat="false" ht="12.75" hidden="false" customHeight="false" outlineLevel="0" collapsed="false">
      <c r="A36" s="518" t="s">
        <v>2609</v>
      </c>
      <c r="B36" s="519"/>
      <c r="C36" s="520" t="n">
        <v>0.005</v>
      </c>
      <c r="D36" s="521" t="str">
        <f aca="false">IF(ISERROR(VLOOKUP($A36,'liste reference'!$A$6:$B$1174,2,0)),IF(ISERROR(VLOOKUP($A36,'liste reference'!$B$6:$B$1174,1,0)),"",VLOOKUP($A36,'liste reference'!$B$6:$B$1174,1,0)),VLOOKUP($A36,'liste reference'!$A$6:$B$1174,2,0))</f>
        <v>Juncus articulatus</v>
      </c>
      <c r="E36" s="522" t="e">
        <f aca="false">IF(D36="",0,VLOOKUP(D36,D$22:D35,1,0))</f>
        <v>#N/A</v>
      </c>
      <c r="F36" s="523" t="n">
        <f aca="false">IF(AND(OR(A36="",A36="!!!!!!"),B36="",C36=""),"",IF(OR(AND(B36="",C36=""),ISERROR(C36+B36)),"!!!",($B36*$B$7+$C36*$C$7)/100))</f>
        <v>0.00075</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Juncus articulatus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1609</v>
      </c>
      <c r="R36" s="513" t="n">
        <f aca="false">IF(ISTEXT(H36),"",(B36*$B$7/100)+(C36*$C$7/100))</f>
        <v>0.00075</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JUNART</v>
      </c>
      <c r="Z36" s="499" t="n">
        <f aca="false">IF(ISERROR(MATCH(A36,'liste reference'!$A$6:$A$1174,0)),IF(ISERROR(MATCH(A36,'liste reference'!$B$6:$B$1174,0)),"",(MATCH(A36,'liste reference'!$B$6:$B$1174,0))),(MATCH(A36,'liste reference'!$A$6:$A$1174,0)))</f>
        <v>873</v>
      </c>
    </row>
    <row r="37" customFormat="false" ht="12.75" hidden="false" customHeight="false" outlineLevel="0" collapsed="false">
      <c r="A37" s="518" t="s">
        <v>3244</v>
      </c>
      <c r="B37" s="519" t="n">
        <v>0.005</v>
      </c>
      <c r="C37" s="520" t="n">
        <v>0.005</v>
      </c>
      <c r="D37" s="521" t="str">
        <f aca="false">IF(ISERROR(VLOOKUP($A37,'liste reference'!$A$6:$B$1174,2,0)),IF(ISERROR(VLOOKUP($A37,'liste reference'!$B$6:$B$1174,1,0)),"",VLOOKUP($A37,'liste reference'!$B$6:$B$1174,1,0)),VLOOKUP($A37,'liste reference'!$A$6:$B$1174,2,0))</f>
        <v>Potentilla reptans</v>
      </c>
      <c r="E37" s="522" t="e">
        <f aca="false">IF(D37="",0,VLOOKUP(D37,D$22:D36,1,0))</f>
        <v>#N/A</v>
      </c>
      <c r="F37" s="523" t="n">
        <f aca="false">IF(AND(OR(A37="",A37="!!!!!!"),B37="",C37=""),"",IF(OR(AND(B37="",C37=""),ISERROR(C37+B37)),"!!!",($B37*$B$7+$C37*$C$7)/100))</f>
        <v>0.005</v>
      </c>
      <c r="G37" s="524" t="str">
        <f aca="false">IF(A37="","",IF(ISERROR(VLOOKUP($A37,'liste reference'!$A$6:$Q$1174,9,0)),IF(ISERROR(VLOOKUP($A37,'liste reference'!$B$6:$Q$1174,8,0)),"    -",VLOOKUP($A37,'liste reference'!$B$6:$Q$1174,8,0)),VLOOKUP($A37,'liste reference'!$A$6:$Q$1174,9,0)))</f>
        <v>PHx</v>
      </c>
      <c r="H37" s="525" t="n">
        <f aca="false">IF(A37="","x",IF(ISERROR(VLOOKUP($A37,'liste reference'!$A$6:$Q$1174,10,0)),IF(ISERROR(VLOOKUP($A37,'liste reference'!$B$6:$Q$1174,9,0)),"x",VLOOKUP($A37,'liste reference'!$B$6:$Q$1174,9,0)),VLOOKUP($A37,'liste reference'!$A$6:$Q$1174,10,0)))</f>
        <v>10</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Potentilla reptans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29945</v>
      </c>
      <c r="R37" s="513" t="n">
        <f aca="false">IF(ISTEXT(H37),"",(B37*$B$7/100)+(C37*$C$7/100))</f>
        <v>0.005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POEREP</v>
      </c>
      <c r="Z37" s="499" t="n">
        <f aca="false">IF(ISERROR(MATCH(A37,'liste reference'!$A$6:$A$1174,0)),IF(ISERROR(MATCH(A37,'liste reference'!$B$6:$B$1174,0)),"",(MATCH(A37,'liste reference'!$B$6:$B$1174,0))),(MATCH(A37,'liste reference'!$A$6:$A$1174,0)))</f>
        <v>1125</v>
      </c>
    </row>
    <row r="38" customFormat="false" ht="12.75" hidden="false" customHeight="false" outlineLevel="0" collapsed="false">
      <c r="A38" s="518" t="s">
        <v>3250</v>
      </c>
      <c r="B38" s="519"/>
      <c r="C38" s="520" t="n">
        <v>0.005</v>
      </c>
      <c r="D38" s="521" t="str">
        <f aca="false">IF(ISERROR(VLOOKUP($A38,'liste reference'!$A$6:$B$1174,2,0)),IF(ISERROR(VLOOKUP($A38,'liste reference'!$B$6:$B$1174,1,0)),"",VLOOKUP($A38,'liste reference'!$B$6:$B$1174,1,0)),VLOOKUP($A38,'liste reference'!$A$6:$B$1174,2,0))</f>
        <v>Ranunculus repens</v>
      </c>
      <c r="E38" s="522" t="e">
        <f aca="false">IF(D38="",0,VLOOKUP(D38,D$22:D37,1,0))</f>
        <v>#N/A</v>
      </c>
      <c r="F38" s="523" t="n">
        <f aca="false">IF(AND(OR(A38="",A38="!!!!!!"),B38="",C38=""),"",IF(OR(AND(B38="",C38=""),ISERROR(C38+B38)),"!!!",($B38*$B$7+$C38*$C$7)/100))</f>
        <v>0.00075</v>
      </c>
      <c r="G38" s="524" t="str">
        <f aca="false">IF(A38="","",IF(ISERROR(VLOOKUP($A38,'liste reference'!$A$6:$Q$1174,9,0)),IF(ISERROR(VLOOKUP($A38,'liste reference'!$B$6:$Q$1174,8,0)),"    -",VLOOKUP($A38,'liste reference'!$B$6:$Q$1174,8,0)),VLOOKUP($A38,'liste reference'!$A$6:$Q$1174,9,0)))</f>
        <v>PHx</v>
      </c>
      <c r="H38" s="525" t="n">
        <f aca="false">IF(A38="","x",IF(ISERROR(VLOOKUP($A38,'liste reference'!$A$6:$Q$1174,10,0)),IF(ISERROR(VLOOKUP($A38,'liste reference'!$B$6:$Q$1174,9,0)),"x",VLOOKUP($A38,'liste reference'!$B$6:$Q$1174,9,0)),VLOOKUP($A38,'liste reference'!$A$6:$Q$1174,10,0)))</f>
        <v>10</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Ranunculus repens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1910</v>
      </c>
      <c r="R38" s="513" t="n">
        <f aca="false">IF(ISTEXT(H38),"",(B38*$B$7/100)+(C38*$C$7/100))</f>
        <v>0.00075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RANREP</v>
      </c>
      <c r="Z38" s="499" t="n">
        <f aca="false">IF(ISERROR(MATCH(A38,'liste reference'!$A$6:$A$1174,0)),IF(ISERROR(MATCH(A38,'liste reference'!$B$6:$B$1174,0)),"",(MATCH(A38,'liste reference'!$B$6:$B$1174,0))),(MATCH(A38,'liste reference'!$A$6:$A$1174,0)))</f>
        <v>1128</v>
      </c>
    </row>
    <row r="39" customFormat="false" ht="12.75" hidden="false" customHeight="false" outlineLevel="0" collapsed="false">
      <c r="A39" s="518" t="s">
        <v>3463</v>
      </c>
      <c r="B39" s="519" t="n">
        <v>0.01</v>
      </c>
      <c r="C39" s="520"/>
      <c r="D39" s="521" t="str">
        <f aca="false">IF(ISERROR(VLOOKUP($A39,'liste reference'!$A$6:$B$1174,2,0)),IF(ISERROR(VLOOKUP($A39,'liste reference'!$B$6:$B$1174,1,0)),"",VLOOKUP($A39,'liste reference'!$B$6:$B$1174,1,0)),VLOOKUP($A39,'liste reference'!$A$6:$B$1174,2,0))</f>
        <v/>
      </c>
      <c r="E39" s="522" t="n">
        <f aca="false">IF(D39="",0,VLOOKUP(D39,D$22:D38,1,0))</f>
        <v>0</v>
      </c>
      <c r="F39" s="523" t="n">
        <f aca="false">IF(AND(OR(A39="",A39="!!!!!!"),B39="",C39=""),"",IF(OR(AND(B39="",C39=""),ISERROR(C39+B39)),"!!!",($B39*$B$7+$C39*$C$7)/100))</f>
        <v>0.0085</v>
      </c>
      <c r="G39" s="524" t="str">
        <f aca="false">IF(A39="","",IF(ISERROR(VLOOKUP($A39,'liste reference'!$A$6:$Q$1174,9,0)),IF(ISERROR(VLOOKUP($A39,'liste reference'!$B$6:$Q$1174,8,0)),"    -",VLOOKUP($A39,'liste reference'!$B$6:$Q$1174,8,0)),VLOOKUP($A39,'liste reference'!$A$6:$Q$1174,9,0)))</f>
        <v>    -</v>
      </c>
      <c r="H39" s="525" t="str">
        <f aca="false">IF(A39="","x",IF(ISERROR(VLOOKUP($A39,'liste reference'!$A$6:$Q$1174,10,0)),IF(ISERROR(VLOOKUP($A39,'liste reference'!$B$6:$Q$1174,9,0)),"x",VLOOKUP($A39,'liste reference'!$B$6:$Q$1174,9,0)),VLOOKUP($A39,'liste reference'!$A$6:$Q$1174,10,0)))</f>
        <v>x</v>
      </c>
      <c r="I39" s="309" t="n">
        <f aca="false">IF(A39="","",1)</f>
        <v>1</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Bryum bicolor</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NoCod</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t="s">
        <v>3464</v>
      </c>
      <c r="X39" s="532"/>
      <c r="Y39" s="517" t="str">
        <f aca="false">IF(AND(ISNUMBER(F39),OR(A39="",A39="!!!!!!")),"!!!!!!",IF(A39="new.cod","NEWCOD",IF(AND((Z39=""),ISTEXT(A39),A39&lt;&gt;"!!!!!!"),A39,IF(Z39="","",INDEX('liste reference'!$A$6:$A$1174,Z39)))))</f>
        <v>NEWCOD</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2.8331</v>
      </c>
      <c r="G83" s="452"/>
      <c r="H83" s="452"/>
      <c r="I83" s="452"/>
      <c r="J83" s="452"/>
      <c r="K83" s="452"/>
      <c r="L83" s="452"/>
      <c r="M83" s="514"/>
      <c r="N83" s="514"/>
      <c r="O83" s="514"/>
      <c r="P83" s="514"/>
      <c r="Q83" s="514"/>
      <c r="R83" s="514"/>
      <c r="S83" s="514"/>
      <c r="T83" s="514"/>
      <c r="U83" s="514"/>
      <c r="V83" s="514" t="n">
        <f aca="false">SUM(V23:V82)</f>
        <v>21</v>
      </c>
      <c r="W83" s="514"/>
      <c r="X83" s="552"/>
      <c r="Y83" s="552"/>
      <c r="Z83" s="553"/>
    </row>
    <row r="84" customFormat="false" ht="12.75" hidden="true" customHeight="false" outlineLevel="0" collapsed="false">
      <c r="A84" s="547" t="str">
        <f aca="false">A3</f>
        <v>CASALUNA</v>
      </c>
      <c r="B84" s="481" t="str">
        <f aca="false">C3</f>
        <v>Gavignano</v>
      </c>
      <c r="C84" s="554" t="str">
        <f aca="false">A4</f>
        <v>(Date)</v>
      </c>
      <c r="D84" s="555" t="n">
        <f aca="false">IF(OR(ISERROR(SUM($U$23:$U$82)/SUM($V$23:$V$82)),F7&lt;&gt;100),-1,SUM($U$23:$U$82)/SUM($V$23:$V$82))</f>
        <v>12.5714285714286</v>
      </c>
      <c r="E84" s="556" t="n">
        <f aca="false">O13</f>
        <v>17</v>
      </c>
      <c r="F84" s="481" t="n">
        <f aca="false">O14</f>
        <v>12</v>
      </c>
      <c r="G84" s="481" t="n">
        <f aca="false">O15</f>
        <v>7</v>
      </c>
      <c r="H84" s="481" t="n">
        <f aca="false">O16</f>
        <v>3</v>
      </c>
      <c r="I84" s="481" t="n">
        <f aca="false">O17</f>
        <v>2</v>
      </c>
      <c r="J84" s="557" t="n">
        <f aca="false">O8</f>
        <v>12.1666666666667</v>
      </c>
      <c r="K84" s="558" t="n">
        <f aca="false">O9</f>
        <v>2.9953667926019</v>
      </c>
      <c r="L84" s="559" t="n">
        <f aca="false">O10</f>
        <v>6</v>
      </c>
      <c r="M84" s="559" t="n">
        <f aca="false">O11</f>
        <v>18</v>
      </c>
      <c r="N84" s="558" t="n">
        <f aca="false">P8</f>
        <v>1.58333333333333</v>
      </c>
      <c r="O84" s="558" t="n">
        <f aca="false">P9</f>
        <v>0.759202798262025</v>
      </c>
      <c r="P84" s="559" t="n">
        <f aca="false">P10</f>
        <v>1</v>
      </c>
      <c r="Q84" s="559" t="n">
        <f aca="false">P11</f>
        <v>3</v>
      </c>
      <c r="R84" s="559" t="n">
        <f aca="false">F21</f>
        <v>2.8331</v>
      </c>
      <c r="S84" s="559" t="n">
        <f aca="false">L11</f>
        <v>0</v>
      </c>
      <c r="T84" s="559" t="n">
        <f aca="false">L12</f>
        <v>5</v>
      </c>
      <c r="U84" s="559" t="n">
        <f aca="false">L13</f>
        <v>4</v>
      </c>
      <c r="V84" s="560" t="n">
        <f aca="false">L15</f>
        <v>6</v>
      </c>
      <c r="W84" s="561" t="n">
        <f aca="false">L15</f>
        <v>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18</v>
      </c>
      <c r="U87" s="309"/>
      <c r="V87" s="309"/>
    </row>
    <row r="88" customFormat="false" ht="12.75" hidden="true" customHeight="false" outlineLevel="0" collapsed="false">
      <c r="C88" s="563"/>
      <c r="D88" s="563"/>
      <c r="E88" s="563"/>
      <c r="R88" s="309" t="s">
        <v>3445</v>
      </c>
      <c r="S88" s="309"/>
      <c r="T88" s="565" t="n">
        <f aca="false">VLOOKUP($T$91,($A$23:$U$82),21,FALSE())</f>
        <v>18</v>
      </c>
      <c r="U88" s="309"/>
      <c r="V88" s="309" t="n">
        <f aca="false">COUNTIF(V23:V82,T89)</f>
        <v>3</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13.6666666666667</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3476</v>
      </c>
      <c r="G20" s="8"/>
      <c r="H20" s="605" t="s">
        <v>3476</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3487</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3488</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3489</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3490</v>
      </c>
    </row>
    <row r="1188" customFormat="false" ht="15" hidden="false" customHeight="false" outlineLevel="0" collapsed="false">
      <c r="A1188" s="592"/>
      <c r="B1188" s="596" t="s">
        <v>3491</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3492</v>
      </c>
    </row>
    <row r="1229" customFormat="false" ht="15" hidden="false" customHeight="false" outlineLevel="0" collapsed="false">
      <c r="A1229" s="592"/>
      <c r="B1229" s="596" t="s">
        <v>3493</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2016-06-09T16:49:11Z</dcterms:modified>
  <cp:revision>0</cp:revision>
  <dc:subject/>
  <dc:title>Feuille d'aide au calcul de l'IBMR</dc:title>
</cp:coreProperties>
</file>