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540" sheetId="6" state="visible" r:id="rId8"/>
    <sheet name="modele" sheetId="7" state="hidden" r:id="rId9"/>
    <sheet name="liste codes réf" sheetId="8" state="hidden" r:id="rId10"/>
  </sheets>
  <definedNames>
    <definedName function="false" hidden="false" localSheetId="5" name="_xlnm.Print_Area" vbProcedure="false">'06215540'!$A$1:$O$82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'06215540'!$A$23:$J$84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<sst xmlns="http://schemas.openxmlformats.org/spreadsheetml/2006/main" count="7361" uniqueCount="2732">
  <si>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</si>
  <si>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</si>
  <si>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</si>
  <si>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</si>
  <si>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</si>
  <si>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</si>
  <si>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</si>
  <si>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</si>
  <si>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</si>
  <si>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</si>
  <si>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</si>
  <si>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</si>
  <si>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</si>
  <si>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</si>
  <si>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</si>
  <si>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</si>
  <si>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</si>
  <si>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</si>
  <si>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</si>
  <si>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</si>
  <si>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</si>
  <si>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</si>
  <si>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</si>
  <si>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</si>
  <si>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</si>
  <si>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</si>
  <si>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</si>
  <si>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</si>
  <si>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</si>
  <si>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</si>
  <si>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</si>
  <si>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</si>
  <si>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</si>
  <si>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</si>
  <si>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</si>
  <si>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</si>
  <si>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</si>
  <si>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</si>
  <si>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</si>
  <si>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</si>
  <si>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</si>
  <si>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</si>
  <si>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</si>
  <si>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</si>
  <si>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</si>
  <si>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</si>
  <si>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</si>
  <si>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</si>
  <si>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</si>
  <si>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</si>
  <si>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</si>
  <si>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</si>
  <si>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</si>
  <si>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</si>
  <si>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</si>
  <si>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</si>
  <si>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</si>
  <si>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</si>
  <si>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</si>
  <si>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</si>
  <si>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</si>
  <si>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</si>
  <si>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</si>
  <si>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</si>
  <si>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</si>
  <si>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</si>
  <si>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</si>
  <si>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</si>
  <si>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</si>
  <si>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</si>
  <si>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</si>
  <si>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</si>
  <si>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</si>
  <si>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</si>
  <si>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</si>
  <si>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</si>
  <si>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</si>
  <si>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</si>
  <si>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</si>
  <si>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</si>
  <si>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</si>
  <si>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</si>
  <si>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</si>
  <si>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</si>
  <si>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</si>
  <si>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</si>
  <si>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</si>
  <si>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</si>
  <si>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</si>
  <si>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</si>
  <si>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</si>
  <si>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</si>
  <si>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</si>
  <si>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</si>
  <si>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</si>
  <si>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</si>
  <si>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</si>
  <si>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</si>
  <si>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</si>
  <si>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</si>
  <si>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</si>
  <si>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</si>
  <si>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</si>
  <si>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</si>
  <si>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</si>
  <si>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</si>
  <si>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</si>
  <si>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</si>
  <si>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</si>
  <si>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</si>
  <si>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</si>
  <si>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</si>
  <si>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</si>
  <si>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</si>
  <si>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</si>
  <si>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</si>
  <si>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</si>
  <si>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</si>
  <si>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</si>
  <si>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</si>
  <si>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</si>
  <si>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</si>
  <si>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</si>
  <si>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</si>
  <si>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</si>
  <si>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</si>
  <si>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</si>
  <si>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</si>
  <si>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</si>
  <si>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</si>
  <si>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</si>
  <si>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</si>
  <si>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</si>
  <si>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</si>
  <si>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</si>
  <si>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</si>
  <si>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</si>
  <si>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</si>
  <si>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</si>
  <si>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</si>
  <si>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</si>
  <si>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</si>
  <si>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</si>
  <si>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</si>
  <si>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</si>
  <si>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</si>
  <si>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</si>
  <si>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</si>
  <si>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</si>
  <si>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</si>
  <si>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</si>
  <si>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</si>
  <si>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</si>
  <si>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</si>
  <si>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</si>
  <si>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</si>
  <si>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</si>
  <si>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</si>
  <si>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</si>
  <si>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</si>
  <si>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</si>
  <si>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</si>
  <si>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</si>
  <si>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</si>
  <si>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</si>
  <si>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</si>
  <si>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</si>
  <si>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</si>
  <si>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</si>
  <si>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</si>
  <si>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</si>
  <si>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</si>
  <si>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</si>
  <si>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</si>
  <si>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</si>
  <si>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</si>
  <si>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</si>
  <si>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</si>
  <si>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</si>
  <si>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</si>
  <si>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</si>
  <si>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</si>
  <si>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</si>
  <si>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</si>
  <si>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</si>
  <si>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</si>
  <si>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</si>
  <si>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</si>
  <si>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</si>
  <si>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</si>
  <si>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</si>
  <si>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</si>
  <si>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</si>
  <si>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</si>
  <si>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</si>
  <si>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</si>
  <si>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</si>
  <si>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</si>
  <si>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</si>
  <si>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</si>
  <si>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</si>
  <si>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</si>
  <si>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</si>
  <si>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</si>
  <si>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</si>
  <si>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</si>
  <si>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</si>
  <si>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</si>
  <si>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</si>
  <si>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</si>
  <si>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</si>
  <si>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</si>
  <si>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</si>
  <si>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</si>
  <si>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</si>
  <si>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</si>
  <si>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</si>
  <si>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</si>
  <si>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</si>
  <si>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</si>
  <si>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</si>
  <si>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</si>
  <si>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</si>
  <si>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</si>
  <si>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</si>
  <si>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</si>
  <si>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</si>
  <si>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</si>
  <si>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</si>
  <si>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</si>
  <si>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</si>
  <si>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</si>
  <si>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</si>
  <si>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</si>
  <si>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</si>
  <si>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</si>
  <si>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</si>
  <si>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</si>
  <si>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</si>
  <si>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</si>
  <si>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</si>
  <si>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</si>
  <si>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</si>
  <si>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</si>
  <si>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</si>
  <si>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</si>
  <si>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</si>
  <si>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</si>
  <si>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</si>
  <si>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</si>
  <si>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</si>
  <si>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</si>
  <si>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</si>
  <si>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</si>
  <si>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</si>
  <si>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</si>
  <si>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</si>
  <si>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</si>
  <si>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</si>
  <si>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</si>
  <si>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</si>
  <si>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</si>
  <si>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</si>
  <si>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</si>
  <si>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</si>
  <si>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</si>
  <si>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</si>
  <si>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</si>
  <si>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</si>
  <si>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</si>
  <si>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</si>
  <si>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</si>
  <si>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</si>
  <si>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</si>
  <si>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</si>
  <si>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</si>
  <si>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</si>
  <si>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</si>
  <si>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</si>
  <si>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</si>
  <si>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</si>
  <si>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</si>
  <si>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</si>
  <si>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</si>
  <si>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</si>
  <si>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</si>
  <si>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</si>
  <si>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</si>
  <si>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</si>
  <si>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</si>
  <si>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</si>
  <si>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</si>
  <si>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</si>
  <si>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</si>
  <si>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</si>
  <si>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</si>
  <si>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</si>
  <si>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</si>
  <si>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</si>
  <si>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</si>
  <si>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</si>
  <si>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</si>
  <si>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</si>
  <si>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</si>
  <si>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</si>
  <si>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</si>
  <si>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</si>
  <si>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</si>
  <si>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</si>
  <si>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</si>
  <si>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</si>
  <si>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</si>
  <si>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</si>
  <si>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</si>
  <si>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</si>
  <si>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</si>
  <si>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</si>
  <si>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</si>
  <si>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</si>
  <si>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</si>
  <si>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</si>
  <si>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</si>
  <si>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</si>
  <si>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</si>
  <si>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</si>
  <si>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</si>
  <si>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</si>
  <si>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</si>
  <si>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</si>
  <si>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</si>
  <si>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</si>
  <si>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</si>
  <si>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</si>
  <si>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</si>
  <si>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</si>
  <si>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</si>
  <si>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</si>
  <si>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</si>
  <si>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</si>
  <si>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</si>
  <si>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</si>
  <si>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</si>
  <si>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</si>
  <si>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</si>
  <si>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</si>
  <si>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</si>
  <si>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</si>
  <si>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</si>
  <si>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</si>
  <si>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</si>
  <si>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</si>
  <si>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</si>
  <si>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</si>
  <si>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</si>
  <si>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</si>
  <si>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</si>
  <si>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</si>
  <si>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</si>
  <si>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</si>
  <si>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</si>
  <si>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</si>
  <si>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</si>
  <si>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</si>
  <si>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</si>
  <si>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</si>
  <si>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</si>
  <si>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</si>
  <si>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</si>
  <si>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</si>
  <si>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</si>
  <si>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</si>
  <si>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</si>
  <si>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</si>
  <si>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</si>
  <si>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</si>
  <si>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</si>
  <si>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</si>
  <si>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</si>
  <si>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</si>
  <si>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</si>
  <si>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</si>
  <si>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</si>
  <si>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</si>
  <si>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</si>
  <si>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</si>
  <si>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</si>
  <si>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</si>
  <si>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</si>
  <si>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</si>
  <si>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</si>
  <si>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</si>
  <si>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</si>
  <si>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</si>
  <si>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</si>
  <si>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</si>
  <si>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</si>
  <si>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</si>
  <si>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</si>
  <si>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</si>
  <si>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</si>
  <si>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</si>
  <si>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</si>
  <si>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</si>
  <si>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</si>
  <si>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</si>
  <si>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</si>
  <si>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</si>
  <si>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</si>
  <si>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</si>
  <si>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</si>
  <si>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</si>
  <si>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</si>
  <si>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</si>
  <si>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</si>
  <si>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</si>
  <si>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</si>
  <si>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</si>
  <si>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</si>
  <si>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</si>
  <si>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</si>
  <si>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</si>
  <si>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</si>
  <si>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</si>
  <si>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</si>
  <si>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</si>
  <si>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</si>
  <si>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</si>
  <si>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</si>
  <si>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</si>
  <si>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</si>
  <si>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</si>
  <si>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</si>
  <si>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</si>
  <si>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</si>
  <si>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</si>
  <si>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</si>
  <si>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</si>
  <si>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</si>
  <si>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</si>
  <si>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</si>
  <si>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</si>
  <si>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</si>
  <si>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</si>
  <si>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</si>
  <si>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</si>
  <si>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</si>
  <si>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</si>
  <si>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</si>
  <si>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</si>
  <si>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</si>
  <si>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</si>
  <si>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</si>
  <si>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</si>
  <si>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</si>
  <si>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</si>
  <si>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</si>
  <si>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</si>
  <si>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</si>
  <si>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</si>
  <si>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</si>
  <si>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</si>
  <si>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</si>
  <si>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</si>
  <si>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</si>
  <si>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</si>
  <si>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</si>
  <si>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</si>
  <si>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</si>
  <si>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</si>
  <si>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</si>
  <si>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</si>
  <si>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</si>
  <si>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</si>
  <si>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</si>
  <si>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</si>
  <si>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</si>
  <si>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</si>
  <si>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</si>
  <si>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</si>
  <si>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</si>
  <si>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</si>
  <si>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</si>
  <si>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</si>
  <si>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</si>
  <si>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</si>
  <si>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</si>
  <si>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</si>
  <si>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</si>
  <si>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</si>
  <si>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</si>
  <si>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</si>
  <si>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</si>
  <si>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</si>
  <si>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</si>
  <si>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</si>
  <si>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</si>
  <si>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</si>
  <si>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</si>
  <si>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</si>
  <si>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</si>
  <si>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</si>
  <si>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</si>
  <si>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</si>
  <si>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</si>
  <si>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</si>
  <si>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</si>
  <si>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</si>
  <si>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</si>
  <si>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</si>
  <si>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</si>
  <si>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</si>
  <si>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</si>
  <si>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</si>
  <si>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</si>
  <si>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</si>
  <si>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</si>
  <si>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</si>
  <si>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</si>
  <si>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</si>
  <si>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</si>
  <si>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</si>
  <si>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</si>
  <si>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</si>
  <si>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</si>
  <si>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</si>
  <si>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</si>
  <si>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</si>
  <si>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</si>
  <si>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</si>
  <si>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</si>
  <si>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</si>
  <si>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</si>
  <si>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</si>
  <si>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</si>
  <si>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</si>
  <si>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</si>
  <si>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</si>
  <si>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</si>
  <si>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</si>
  <si>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</si>
  <si>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</si>
  <si>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</si>
  <si>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</si>
  <si>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</si>
  <si>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</si>
  <si>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</si>
  <si>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</si>
  <si>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</si>
  <si>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</si>
  <si>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</si>
  <si>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</si>
  <si>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</si>
  <si>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</si>
  <si>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</si>
  <si>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</si>
  <si>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</si>
  <si>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</si>
  <si>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</si>
  <si>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</si>
  <si>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</si>
  <si>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</si>
  <si>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</si>
  <si>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</si>
  <si>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</si>
  <si>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</si>
  <si>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</si>
  <si>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</si>
  <si>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</si>
  <si>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</si>
  <si>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</si>
  <si>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</si>
  <si>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</si>
  <si>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</si>
  <si>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</si>
  <si>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</si>
  <si>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</si>
  <si>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</si>
  <si>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</si>
  <si>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</si>
  <si>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</si>
  <si>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</si>
  <si>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</si>
  <si>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</si>
  <si>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</si>
  <si>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</si>
  <si>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</si>
  <si>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</si>
  <si>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</si>
  <si>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</si>
  <si>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</si>
  <si>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</si>
  <si>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</si>
  <si>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</si>
  <si>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</si>
  <si>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</si>
  <si>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</si>
  <si>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</si>
  <si>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</si>
  <si>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</si>
  <si>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</si>
  <si>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</si>
  <si>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</si>
  <si>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</si>
  <si>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</si>
  <si>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</si>
  <si>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</si>
  <si>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</si>
  <si>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</si>
  <si>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</si>
  <si>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</si>
  <si>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</si>
  <si>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</si>
  <si>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</si>
  <si>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</si>
  <si>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</si>
  <si>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</si>
  <si>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</si>
  <si>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</si>
  <si>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</si>
  <si>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</si>
  <si>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</si>
  <si>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</si>
  <si>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</si>
  <si>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</si>
  <si>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</si>
  <si>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</si>
  <si>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</si>
  <si>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</si>
  <si>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</si>
  <si>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</si>
  <si>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</si>
  <si>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</si>
  <si>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</si>
  <si>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</si>
  <si>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</si>
  <si>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</si>
  <si>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</si>
  <si>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</si>
  <si>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</si>
  <si>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</si>
  <si>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</si>
  <si>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</si>
  <si>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</si>
  <si>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</si>
  <si>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</si>
  <si>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</si>
  <si>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</si>
  <si>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</si>
  <si>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</si>
  <si>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</si>
  <si>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</si>
  <si>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</si>
  <si>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</si>
  <si>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</si>
  <si>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</si>
  <si>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</si>
  <si>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</si>
  <si>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</si>
  <si>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</si>
  <si>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</si>
  <si>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</si>
  <si>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</si>
  <si>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</si>
  <si>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</si>
  <si>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</si>
  <si>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</si>
  <si>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</si>
  <si>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</si>
  <si>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</si>
  <si>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</si>
  <si>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</si>
  <si>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</si>
  <si>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</si>
  <si>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</si>
  <si>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</si>
  <si>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</si>
  <si>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</si>
  <si>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</si>
  <si>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</si>
  <si>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</si>
  <si>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</si>
  <si>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</si>
  <si>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</si>
  <si>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</si>
  <si>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</si>
  <si>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</si>
  <si>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</si>
  <si>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</si>
  <si>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</si>
  <si>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</si>
  <si>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</si>
  <si>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</si>
  <si>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</si>
  <si>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</si>
  <si>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</si>
  <si>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</si>
  <si>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</si>
  <si>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</si>
  <si>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</si>
  <si>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</si>
  <si>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</si>
  <si>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</si>
  <si>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</si>
  <si>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</si>
  <si>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</si>
  <si>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</si>
  <si>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</si>
  <si>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</si>
  <si>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</si>
  <si>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</si>
  <si>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</si>
  <si>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</si>
  <si>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</si>
  <si>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</si>
  <si>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</si>
  <si>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</si>
  <si>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</si>
  <si>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</si>
  <si>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</si>
  <si>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</si>
  <si>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</si>
  <si>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</si>
  <si>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</si>
  <si>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</si>
  <si>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</si>
  <si>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</si>
  <si>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</si>
  <si>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</si>
  <si>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</si>
  <si>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</si>
  <si>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</si>
  <si>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</si>
  <si>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</si>
  <si>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</si>
  <si>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</si>
  <si>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</si>
  <si>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</si>
  <si>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</si>
  <si>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</si>
  <si>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</si>
  <si>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</si>
  <si>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</si>
  <si>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</si>
  <si>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</si>
  <si>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</si>
  <si>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</si>
  <si>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</si>
  <si>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</si>
  <si>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</si>
  <si>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</si>
  <si>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</si>
  <si>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</si>
  <si>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</si>
  <si>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</si>
  <si>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</si>
  <si>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</si>
  <si>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</si>
  <si>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</si>
  <si>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</si>
  <si>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</si>
  <si>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</si>
  <si>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</si>
  <si>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</si>
  <si>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</si>
  <si>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</si>
  <si>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</si>
  <si>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</si>
  <si>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</si>
  <si>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</si>
  <si>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</si>
  <si>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</si>
  <si>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</si>
  <si>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</si>
  <si>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</si>
  <si>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</si>
  <si>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</si>
  <si>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</si>
  <si>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</si>
  <si>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</si>
  <si>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</si>
  <si>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</si>
  <si>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</si>
  <si>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</si>
  <si>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</si>
  <si>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</si>
  <si>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</si>
  <si>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</si>
  <si>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</si>
  <si>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</si>
  <si>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</si>
  <si>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</si>
  <si>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</si>
  <si>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</si>
  <si>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</si>
  <si>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</si>
  <si>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</si>
  <si>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</si>
  <si>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</si>
  <si>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</si>
  <si>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</si>
  <si>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</si>
  <si>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</si>
  <si>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</si>
  <si>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</si>
  <si>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</si>
  <si>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</si>
  <si>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</si>
  <si>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</si>
  <si>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</si>
  <si>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</si>
  <si>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</si>
  <si>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</si>
  <si>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</si>
  <si>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</si>
  <si>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</si>
  <si>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</si>
  <si>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</si>
  <si>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</si>
  <si>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</si>
  <si>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</si>
  <si>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</si>
  <si>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</si>
  <si>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</si>
  <si>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</si>
  <si>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</si>
  <si>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</si>
  <si>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</si>
  <si>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</si>
  <si>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</si>
  <si>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</si>
  <si>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</si>
  <si>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</si>
  <si>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</si>
  <si>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</si>
  <si>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</si>
  <si>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</si>
  <si>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</si>
  <si>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</si>
  <si>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</si>
  <si>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</si>
  <si>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</si>
  <si>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</si>
  <si>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</si>
  <si>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</si>
  <si>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</si>
  <si>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</si>
  <si>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</si>
  <si>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</si>
  <si>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</si>
  <si>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</si>
  <si>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</si>
  <si>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</si>
  <si>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</si>
  <si>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</si>
  <si>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</si>
  <si>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</si>
  <si>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</si>
  <si>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</si>
  <si>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</si>
  <si>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</si>
  <si>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</si>
  <si>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</si>
  <si>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</si>
  <si>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</si>
  <si>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</si>
  <si>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</si>
  <si>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</si>
  <si>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</si>
  <si>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</si>
  <si>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</si>
  <si>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</si>
  <si>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</si>
  <si>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</si>
  <si>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</si>
  <si>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</si>
  <si>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</si>
  <si>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</si>
  <si>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</si>
  <si>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</si>
  <si>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</si>
  <si>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</si>
  <si>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</si>
  <si>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</si>
  <si>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</si>
  <si>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</si>
  <si>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</si>
  <si>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</si>
  <si>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</si>
  <si>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</si>
  <si>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</si>
  <si>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</si>
  <si>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</si>
  <si>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</si>
  <si>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</si>
  <si>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</si>
  <si>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</si>
  <si>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</si>
  <si>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</si>
  <si>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</si>
  <si>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</si>
  <si>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</si>
  <si>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</si>
  <si>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</si>
  <si>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</si>
  <si>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</si>
  <si>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</si>
  <si>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</si>
  <si>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</si>
  <si>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</si>
  <si>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</si>
  <si>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</si>
  <si>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</si>
  <si>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</si>
  <si>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</si>
  <si>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</si>
  <si>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</si>
  <si>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</si>
  <si>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</si>
  <si>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</si>
  <si>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</si>
  <si>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</si>
  <si>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</si>
  <si>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</si>
  <si>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</si>
  <si>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</si>
  <si>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</si>
  <si>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</si>
  <si>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</si>
  <si>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</si>
  <si>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</si>
  <si>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</si>
  <si>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</si>
  <si>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</si>
  <si>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</si>
  <si>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</si>
  <si>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</si>
  <si>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</si>
  <si>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</si>
  <si>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</si>
  <si>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</si>
  <si>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</si>
  <si>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</si>
  <si>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</si>
  <si>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</si>
  <si>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</si>
  <si>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</si>
  <si>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</si>
  <si>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</si>
  <si>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</si>
  <si>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</si>
  <si>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</si>
  <si>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</si>
  <si>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</si>
  <si>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</si>
  <si>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</si>
  <si>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</si>
  <si>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</si>
  <si>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</si>
  <si>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</si>
  <si>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</si>
  <si>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</si>
  <si>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</si>
  <si>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</si>
  <si>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</si>
  <si>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</si>
  <si>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</si>
  <si>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</si>
  <si>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</si>
  <si>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</si>
  <si>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</si>
  <si>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</si>
  <si>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</si>
  <si>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</si>
  <si>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</si>
  <si>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</si>
  <si>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</si>
  <si>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</si>
  <si>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</si>
  <si>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</si>
  <si>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</si>
  <si>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</si>
  <si>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</si>
  <si>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</si>
  <si>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</si>
  <si>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</si>
  <si>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</si>
  <si>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</si>
  <si>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</si>
  <si>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</si>
  <si>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</si>
  <si>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</si>
  <si>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</si>
  <si>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</si>
  <si>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</si>
  <si>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</si>
  <si>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</si>
  <si>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</si>
  <si>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</si>
  <si>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</si>
  <si>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</si>
  <si>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</si>
  <si>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</si>
  <si>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</si>
  <si>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</si>
  <si>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</si>
  <si>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</si>
  <si>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</si>
  <si>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</si>
  <si>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</si>
  <si>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</si>
  <si>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</si>
  <si>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</si>
  <si>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</si>
  <si>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</si>
  <si>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</si>
  <si>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</si>
  <si>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</si>
  <si>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</si>
  <si>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</si>
  <si>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</si>
  <si>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</si>
  <si>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</si>
  <si>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</si>
  <si>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</si>
  <si>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</si>
  <si>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</si>
  <si>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</si>
  <si>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</si>
  <si>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</si>
  <si>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</si>
  <si>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</si>
  <si>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</si>
  <si>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</si>
  <si>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</si>
  <si>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</si>
  <si>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</si>
  <si>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</si>
  <si>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</si>
  <si>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</si>
  <si>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</si>
  <si>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</si>
  <si>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</si>
  <si>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</si>
  <si>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</si>
  <si>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</si>
  <si>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</si>
  <si>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</si>
  <si>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</si>
  <si>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</si>
  <si>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</si>
  <si>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</si>
  <si>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</si>
  <si>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</si>
  <si>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</si>
  <si>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</si>
  <si>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</si>
  <si>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</si>
  <si>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</si>
  <si>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</si>
  <si>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</si>
  <si>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</si>
  <si>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</si>
  <si>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</si>
  <si>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</si>
  <si>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</si>
  <si>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</si>
  <si>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</si>
  <si>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</si>
  <si>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</si>
  <si>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</si>
  <si>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</si>
  <si>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</si>
  <si>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</si>
  <si>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</si>
  <si>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</si>
  <si>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</si>
  <si>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</si>
  <si>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</si>
  <si>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</si>
  <si>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</si>
  <si>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</si>
  <si>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</si>
  <si>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</si>
  <si>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</si>
  <si>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</si>
  <si>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</si>
  <si>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</si>
  <si>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</si>
  <si>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</si>
  <si>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</si>
  <si>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</si>
  <si>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</si>
  <si>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</si>
  <si>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</si>
  <si>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</si>
  <si>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</si>
  <si>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</si>
  <si>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</si>
  <si>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</si>
  <si>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</si>
  <si>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</si>
  <si>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</si>
  <si>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</si>
  <si>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</si>
  <si>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</si>
  <si>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</si>
  <si>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</si>
  <si>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</si>
  <si>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</si>
  <si>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</si>
  <si>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</si>
  <si>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</si>
  <si>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</si>
  <si>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</si>
  <si>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</si>
  <si>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</si>
  <si>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</si>
  <si>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</si>
  <si>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</si>
  <si>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</si>
  <si>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</si>
  <si>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</si>
  <si>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</si>
  <si>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</si>
  <si>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</si>
  <si>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</si>
  <si>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</si>
  <si>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</si>
  <si>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</si>
  <si>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</si>
  <si>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</si>
  <si>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</si>
  <si>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</si>
  <si>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</si>
  <si>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</si>
  <si>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</si>
  <si>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</si>
  <si>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</si>
  <si>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</si>
  <si>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</si>
  <si>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</si>
  <si>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</si>
  <si>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</si>
  <si>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</si>
  <si>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</si>
  <si>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</si>
  <si>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</si>
  <si>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</si>
  <si>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</si>
  <si>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</si>
  <si>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</si>
  <si>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</si>
  <si>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</si>
  <si>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</si>
  <si>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</si>
  <si>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</si>
  <si>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</si>
  <si>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</si>
  <si>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</si>
  <si>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</si>
  <si>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</si>
  <si>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</si>
  <si>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</si>
  <si>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</si>
  <si>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</si>
  <si>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</si>
  <si>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</si>
  <si>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</si>
  <si>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</si>
  <si>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</si>
  <si>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</si>
  <si>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</si>
  <si>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</si>
  <si>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</si>
  <si>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</si>
  <si>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</si>
  <si>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</si>
  <si>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</si>
  <si>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</si>
  <si>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</si>
  <si>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</si>
  <si>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</si>
  <si>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</si>
  <si>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</si>
  <si>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</si>
  <si>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</si>
  <si>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</si>
  <si>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</si>
  <si>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</si>
  <si>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</si>
  <si>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</si>
  <si>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</si>
  <si>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</si>
  <si>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</si>
  <si>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</si>
  <si>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</si>
  <si>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</si>
  <si>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</si>
  <si>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</si>
  <si>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</si>
  <si>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</si>
  <si>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</si>
  <si>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</si>
  <si>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</si>
  <si>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</si>
  <si>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</si>
  <si>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</si>
  <si>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</si>
  <si>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</si>
  <si>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</si>
  <si>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</si>
  <si>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</si>
  <si>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</si>
  <si>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</si>
  <si>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</si>
  <si>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</si>
  <si>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</si>
  <si>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</si>
  <si>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</si>
  <si>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</si>
  <si>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</si>
  <si>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</si>
  <si>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</si>
  <si>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</si>
  <si>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</si>
  <si>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</si>
  <si>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</si>
  <si>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</si>
  <si>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</si>
  <si>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</si>
  <si>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</si>
  <si>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</si>
  <si>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</si>
  <si>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</si>
  <si>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</si>
  <si>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</si>
  <si>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</si>
  <si>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</si>
  <si>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</si>
  <si>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</si>
  <si>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</si>
  <si>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</si>
  <si>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</si>
  <si>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</si>
  <si>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</si>
  <si>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</si>
  <si>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</si>
  <si>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</si>
  <si>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</si>
  <si>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</si>
  <si>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</si>
  <si>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</si>
  <si>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</si>
  <si>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</si>
  <si>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</si>
  <si>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</si>
  <si>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</si>
  <si>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</si>
  <si>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</si>
  <si>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</si>
  <si>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</si>
  <si>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</si>
  <si>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</si>
  <si>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</si>
  <si>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</si>
  <si>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</si>
  <si>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</si>
  <si>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</si>
  <si>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</si>
  <si>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</si>
  <si>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</si>
  <si>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</si>
  <si>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</si>
  <si>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</si>
  <si>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</si>
  <si>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</si>
  <si>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</si>
  <si>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</si>
  <si>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</si>
  <si>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</si>
  <si>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</si>
  <si>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</si>
  <si>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</si>
  <si>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</si>
  <si>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</si>
  <si>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</si>
  <si>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</si>
  <si>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</si>
  <si>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</si>
  <si>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</si>
  <si>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</si>
  <si>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</si>
  <si>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</si>
  <si>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</si>
  <si>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</si>
  <si>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</si>
  <si>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</si>
  <si>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</si>
  <si>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</si>
  <si>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</si>
  <si>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</si>
  <si>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</si>
  <si>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</si>
  <si>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</si>
  <si>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</si>
  <si>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</si>
  <si>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</si>
  <si>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</si>
  <si>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</si>
  <si>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</si>
  <si>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</si>
  <si>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</si>
  <si>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</si>
  <si>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</si>
  <si>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</si>
  <si>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</si>
  <si>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</si>
  <si>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</si>
  <si>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</si>
  <si>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</si>
  <si>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</si>
  <si>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</si>
  <si>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</si>
  <si>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</si>
  <si>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</si>
  <si>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</si>
  <si>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</si>
  <si>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</si>
  <si>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</si>
  <si>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</si>
  <si>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</si>
  <si>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</si>
  <si>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</si>
  <si>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</si>
  <si>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</si>
  <si>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</si>
  <si>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</si>
  <si>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</si>
  <si>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</si>
  <si>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</si>
  <si>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</si>
  <si>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</si>
  <si>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</si>
  <si>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</si>
  <si>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</si>
  <si>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</si>
  <si>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</si>
  <si>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</si>
  <si>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</si>
  <si>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</si>
  <si>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</si>
  <si>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</si>
  <si>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</si>
  <si>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</si>
  <si>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</si>
  <si>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</si>
  <si>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</si>
  <si>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</si>
  <si>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</si>
  <si>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</si>
  <si>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</si>
  <si>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</si>
  <si>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</si>
  <si>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</si>
  <si>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</si>
  <si>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</si>
  <si>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</si>
  <si>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</si>
  <si>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</si>
  <si>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</si>
  <si>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</si>
  <si>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</si>
  <si>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</si>
  <si>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</si>
  <si>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</si>
  <si>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</si>
  <si>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</si>
  <si>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</si>
  <si>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</si>
  <si>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</si>
  <si>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</si>
  <si>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</si>
  <si>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</si>
  <si>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</si>
  <si>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</si>
  <si>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</si>
  <si>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</si>
  <si>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</si>
  <si>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</si>
  <si>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</si>
  <si>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</si>
  <si>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</si>
  <si>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</si>
  <si>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</si>
  <si>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</si>
  <si>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</si>
  <si>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</si>
  <si>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</si>
  <si>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</si>
  <si>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</si>
  <si>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</si>
  <si>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</si>
  <si>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</si>
  <si>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</si>
  <si>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</si>
  <si>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</si>
  <si>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</si>
  <si>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</si>
  <si>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</si>
  <si>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</si>
  <si>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</si>
  <si>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</si>
  <si>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</si>
  <si>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</si>
  <si>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</si>
  <si>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</si>
  <si>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</si>
  <si>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</si>
  <si>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</si>
  <si>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</si>
  <si>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</si>
  <si>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</si>
  <si>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</si>
  <si>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</si>
  <si>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</si>
  <si>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</si>
  <si>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</si>
  <si>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</si>
  <si>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</si>
  <si>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</si>
  <si>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</si>
  <si>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</si>
  <si>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</si>
  <si>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</si>
  <si>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</si>
  <si>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</si>
  <si>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</si>
  <si>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</si>
  <si>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</si>
  <si>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</si>
  <si>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</si>
  <si>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</si>
  <si>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</si>
  <si>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</si>
  <si>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</si>
  <si>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</si>
  <si>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</si>
  <si>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</si>
  <si>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</si>
  <si>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</si>
  <si>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</si>
  <si>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</si>
  <si>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</si>
  <si>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</si>
  <si>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</si>
  <si>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</si>
  <si>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</si>
  <si>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</si>
  <si>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</si>
  <si>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</si>
  <si>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</si>
  <si>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</si>
  <si>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</si>
  <si>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</si>
  <si>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</si>
  <si>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</si>
  <si>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</si>
  <si>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</si>
  <si>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</si>
  <si>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</si>
  <si>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</si>
  <si>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</si>
  <si>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</si>
  <si>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</si>
  <si>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</si>
  <si>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</si>
  <si>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</si>
  <si>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</si>
  <si>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</si>
  <si>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</si>
  <si>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</si>
  <si>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</si>
  <si>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</si>
  <si>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</si>
  <si>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</si>
  <si>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</si>
  <si>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</si>
  <si>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</si>
  <si>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</si>
  <si>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</si>
  <si>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</si>
  <si>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</si>
  <si>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</si>
  <si>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</si>
  <si>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</si>
  <si>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</si>
  <si>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</si>
  <si>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</si>
  <si>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</si>
  <si>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</si>
  <si>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</si>
  <si>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</si>
  <si>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</si>
  <si>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</si>
  <si>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</si>
  <si>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</si>
  <si>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</si>
  <si>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</si>
  <si>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</si>
  <si>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</si>
  <si>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</si>
  <si>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</si>
  <si>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</si>
  <si>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</si>
  <si>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</si>
  <si>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</si>
  <si>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</si>
  <si>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</si>
  <si>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</si>
  <si>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</si>
  <si>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</si>
  <si>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</si>
  <si>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</si>
  <si>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</si>
  <si>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</si>
  <si>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</si>
  <si>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</si>
  <si>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</si>
  <si>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</si>
  <si>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</si>
  <si>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</si>
  <si>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</si>
  <si>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</si>
  <si>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</si>
  <si>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</si>
  <si>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</si>
  <si>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</si>
  <si>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</si>
  <si>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</si>
  <si>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</si>
  <si>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</si>
  <si>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</si>
  <si>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</si>
  <si>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</si>
  <si>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</si>
  <si>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</si>
  <si>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</si>
  <si>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</si>
  <si>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</si>
  <si>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</si>
  <si>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</si>
  <si>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</si>
  <si>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</si>
  <si>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</si>
  <si>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</si>
  <si>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</si>
  <si>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</si>
  <si>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</si>
  <si>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</si>
  <si>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</si>
  <si>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</si>
  <si>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</si>
  <si>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</si>
  <si>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</si>
  <si>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</si>
  <si>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</si>
  <si>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</si>
  <si>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</si>
  <si>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</si>
  <si>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</si>
  <si>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</si>
  <si>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</si>
  <si>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</si>
  <si>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</si>
  <si>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</si>
  <si>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</si>
  <si>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</si>
  <si>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</si>
  <si>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</si>
  <si>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</si>
  <si>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</si>
  <si>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</si>
  <si>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</si>
  <si>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</si>
  <si>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</si>
  <si>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</si>
  <si>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</si>
  <si>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</si>
  <si>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</si>
  <si>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</si>
  <si>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</si>
  <si>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</si>
  <si>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</si>
  <si>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</si>
  <si>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</si>
  <si>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</si>
  <si>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</si>
  <si>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</si>
  <si>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</si>
  <si>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</si>
  <si>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</si>
  <si>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</si>
  <si>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</si>
  <si>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</si>
  <si>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</si>
  <si>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</si>
  <si>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</si>
  <si>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</si>
  <si>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</si>
  <si>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</si>
  <si>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</si>
  <si>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</si>
  <si>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</si>
  <si>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</si>
  <si>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</si>
  <si>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</si>
  <si>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</si>
  <si>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</si>
  <si>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</si>
  <si>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</si>
  <si>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</si>
  <si>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</si>
  <si>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</si>
  <si>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</si>
  <si>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</si>
  <si>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</si>
  <si>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</si>
  <si>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</si>
  <si>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</si>
  <si>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</si>
  <si>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</si>
  <si>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</si>
  <si>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</si>
  <si>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</si>
  <si>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</si>
  <si>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</si>
  <si>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</si>
  <si>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</si>
  <si>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</si>
  <si>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</si>
  <si>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</si>
  <si>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</si>
  <si>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</si>
  <si>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</si>
  <si>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</si>
  <si>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</si>
  <si>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</si>
  <si>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</si>
  <si>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</si>
  <si>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</si>
  <si>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</si>
  <si>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</si>
  <si>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</si>
  <si>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</si>
  <si>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</si>
  <si>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</si>
  <si>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</si>
  <si>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</si>
  <si>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</si>
  <si>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</si>
  <si>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</si>
  <si>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</si>
  <si>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</si>
  <si>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</si>
  <si>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</si>
  <si>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</si>
  <si>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</si>
  <si>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</si>
  <si>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</si>
  <si>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</si>
  <si>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</si>
  <si>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</si>
  <si>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</si>
  <si>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</si>
  <si>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</si>
  <si>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</si>
  <si>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</si>
  <si>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</si>
  <si>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</si>
  <si>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</si>
  <si>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</si>
  <si>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</si>
  <si>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</si>
  <si>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</si>
  <si>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</si>
  <si>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</si>
  <si>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</si>
  <si>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</si>
  <si>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</si>
  <si>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</si>
  <si>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</si>
  <si>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</si>
  <si>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</si>
  <si>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</si>
  <si>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</si>
  <si>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</si>
  <si>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</si>
  <si>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</si>
  <si>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</si>
  <si>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</si>
  <si>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</si>
  <si>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</si>
  <si>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</si>
  <si>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</si>
  <si>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</si>
  <si>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</si>
  <si>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</si>
  <si>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</si>
  <si>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</si>
  <si>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</si>
  <si>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</si>
  <si>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</si>
  <si>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</si>
  <si>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</si>
  <si>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</si>
  <si>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</si>
  <si>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</si>
  <si>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</si>
  <si>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</si>
  <si>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</si>
  <si>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</si>
  <si>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</si>
  <si>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</si>
  <si>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</si>
  <si>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</si>
  <si>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</si>
  <si>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</si>
  <si>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</si>
  <si>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</si>
  <si>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</si>
  <si>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</si>
  <si>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</si>
  <si>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</si>
  <si>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</si>
  <si>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</si>
  <si>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</si>
  <si>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</si>
  <si>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</si>
  <si>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</si>
  <si>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</si>
  <si>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</si>
  <si>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</si>
  <si>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</si>
  <si>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</si>
  <si>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</si>
  <si>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</si>
  <si>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</si>
  <si>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</si>
  <si>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</si>
  <si>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</si>
  <si>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</si>
  <si>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</si>
  <si>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</si>
  <si>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</si>
  <si>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</si>
  <si>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</si>
  <si>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</si>
  <si>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</si>
  <si>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</si>
  <si>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</si>
  <si>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</si>
  <si>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</si>
  <si>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</si>
  <si>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</si>
  <si>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</si>
  <si>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</si>
  <si>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</si>
  <si>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</si>
  <si>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</si>
  <si>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</si>
  <si>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</si>
  <si>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</si>
  <si>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</si>
  <si>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</si>
  <si>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</si>
  <si>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</si>
  <si>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</si>
  <si>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</si>
  <si>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</si>
  <si>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</si>
  <si>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</si>
  <si>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</si>
  <si>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</si>
  <si>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</si>
  <si>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</si>
  <si>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</si>
  <si>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</si>
  <si>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</si>
  <si>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</si>
  <si>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</si>
  <si>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</si>
  <si>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</si>
  <si>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</si>
  <si>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</si>
  <si>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</si>
  <si>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</si>
  <si>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</si>
  <si>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</si>
  <si>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</si>
  <si>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</si>
  <si>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</si>
  <si>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</si>
  <si>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</si>
  <si>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</si>
  <si>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</si>
  <si>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</si>
  <si>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</si>
  <si>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</si>
  <si>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</si>
  <si>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</si>
  <si>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</si>
  <si>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</si>
  <si>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</si>
  <si>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</si>
  <si>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</si>
  <si>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</si>
  <si>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</si>
  <si>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</si>
  <si>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</si>
  <si>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</si>
  <si>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</si>
  <si>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</si>
  <si>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</si>
  <si>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</si>
  <si>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</si>
  <si>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</si>
  <si>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</si>
  <si>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</si>
  <si>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</si>
  <si>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</si>
  <si>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</si>
  <si>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</si>
  <si>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</si>
  <si>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</si>
  <si>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</si>
  <si>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</si>
  <si>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</si>
  <si>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</si>
  <si>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</si>
  <si>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</si>
  <si>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</si>
  <si>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</si>
  <si>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</si>
  <si>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</si>
  <si>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</si>
  <si>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</si>
  <si>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</si>
  <si>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</si>
  <si>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</si>
  <si>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</si>
  <si>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</si>
  <si>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</si>
  <si>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</si>
  <si>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</si>
  <si>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</si>
  <si>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</si>
  <si>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</si>
  <si>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</si>
  <si>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</si>
  <si>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</si>
  <si>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</si>
  <si>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</si>
  <si>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</si>
  <si>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</si>
  <si>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</si>
  <si>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</si>
  <si>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</si>
  <si>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</si>
  <si>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</si>
  <si>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</si>
  <si>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</si>
  <si>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</si>
  <si>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</si>
  <si>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</si>
  <si>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</si>
  <si>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</si>
  <si>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</si>
  <si>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</si>
  <si>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</si>
  <si>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</si>
  <si>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</si>
  <si>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</si>
  <si>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</si>
  <si>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</si>
  <si>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</si>
  <si>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</si>
  <si>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</si>
  <si>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</si>
  <si>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</si>
  <si>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</si>
  <si>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</si>
  <si>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</si>
  <si>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</si>
  <si>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</si>
  <si>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</si>
  <si>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</si>
  <si>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</si>
  <si>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</si>
  <si>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</si>
  <si>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</si>
  <si>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</si>
  <si>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</si>
  <si>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</si>
  <si>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</si>
  <si>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</si>
  <si>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</si>
  <si>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</si>
  <si>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</si>
  <si>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</si>
  <si>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</si>
  <si>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</si>
  <si>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</si>
  <si>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</si>
  <si>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</si>
  <si>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</si>
  <si>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</si>
  <si>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</si>
  <si>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</si>
  <si>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</si>
  <si>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</si>
  <si>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</si>
  <si>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</si>
  <si>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</si>
  <si>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</si>
  <si>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</si>
  <si>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</si>
  <si>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</si>
  <si>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</si>
  <si>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</si>
  <si>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</si>
  <si>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</si>
  <si>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</si>
  <si>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</si>
  <si>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</si>
  <si>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</si>
  <si>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</si>
  <si>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</si>
  <si>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</si>
  <si>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</si>
  <si>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</si>
  <si>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</si>
  <si>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</si>
  <si>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</si>
  <si>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</si>
  <si>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</si>
  <si>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</si>
  <si>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</si>
  <si>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</si>
  <si>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</si>
  <si>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</si>
  <si>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</si>
  <si>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</si>
  <si>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</si>
  <si>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</si>
  <si>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</si>
  <si>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</si>
  <si>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</si>
  <si>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</si>
  <si>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</si>
  <si>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</si>
  <si>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</si>
  <si>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</si>
  <si>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</si>
  <si>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</si>
  <si>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</si>
  <si>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</si>
  <si>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</si>
  <si>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</si>
  <si>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</si>
  <si>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</si>
  <si>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</si>
  <si>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</si>
  <si>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</si>
  <si>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</si>
  <si>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</si>
  <si>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</si>
  <si>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</si>
  <si>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</si>
  <si>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</si>
  <si>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</si>
  <si>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</si>
  <si>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</si>
  <si>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</si>
  <si>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</si>
  <si>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</si>
  <si>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</si>
  <si>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</si>
  <si>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</si>
  <si>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</si>
  <si>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</si>
  <si>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</si>
  <si>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</si>
  <si>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</si>
  <si>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</si>
  <si>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</si>
  <si>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</si>
  <si>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</si>
  <si>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</si>
  <si>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</si>
  <si>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</si>
  <si>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</si>
  <si>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</si>
  <si>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</si>
  <si>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</si>
  <si>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</si>
  <si>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</si>
  <si>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</si>
  <si>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</si>
  <si>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</si>
  <si>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</si>
  <si>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</si>
  <si>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</si>
  <si>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</si>
  <si>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</si>
  <si>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</si>
  <si>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</si>
  <si>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</si>
  <si>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</si>
  <si>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</si>
  <si>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</si>
  <si>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</si>
  <si>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</si>
  <si>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</si>
  <si>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</si>
  <si>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</si>
  <si>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</si>
  <si>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</si>
  <si>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</si>
  <si>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</si>
  <si>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</si>
  <si>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</si>
  <si>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</si>
  <si>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</si>
  <si>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</si>
  <si>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</si>
  <si>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</si>
  <si>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</si>
  <si>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</si>
  <si>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</si>
  <si>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</si>
  <si>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</si>
  <si>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</si>
  <si>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</si>
  <si>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</si>
  <si>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</si>
  <si>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</si>
  <si>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</si>
  <si>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</si>
  <si>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</si>
  <si>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</si>
  <si>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</si>
  <si>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</si>
  <si>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</si>
  <si>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</si>
  <si>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</si>
  <si>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</si>
  <si>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</si>
  <si>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</si>
  <si>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</si>
  <si>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</si>
  <si>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</si>
  <si>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</si>
  <si>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</si>
  <si>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</si>
  <si>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</si>
  <si>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</si>
  <si>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</si>
  <si>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</si>
  <si>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</si>
  <si>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</si>
  <si>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</si>
  <si>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</si>
  <si>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</si>
  <si>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</si>
  <si>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</si>
  <si>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</si>
  <si>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</si>
  <si>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</si>
  <si>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</si>
  <si>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</si>
  <si>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</si>
  <si>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</si>
  <si>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</si>
  <si>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</si>
  <si>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</si>
  <si>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</si>
  <si>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</si>
  <si>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</si>
  <si>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</si>
  <si>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</si>
  <si>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</si>
  <si>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</si>
  <si>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</si>
  <si>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</si>
  <si>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</si>
  <si>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</si>
  <si>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</si>
  <si>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</si>
  <si>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</si>
  <si>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</si>
  <si>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</si>
  <si>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</si>
  <si>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</si>
  <si>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</si>
  <si>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</si>
  <si>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</si>
  <si>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</si>
  <si>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</si>
  <si>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</si>
  <si>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</si>
  <si>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</si>
  <si>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</si>
  <si>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</si>
  <si>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</si>
  <si>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</si>
  <si>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</si>
  <si>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</si>
  <si>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</si>
  <si>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</si>
  <si>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</si>
  <si>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</si>
  <si>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</si>
  <si>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</si>
  <si>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</si>
  <si>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</si>
  <si>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</si>
  <si>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</si>
  <si>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</si>
  <si>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</si>
  <si>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</si>
  <si>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</si>
  <si>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</si>
  <si>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</si>
  <si>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</si>
  <si>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</si>
  <si>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</si>
  <si>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</si>
  <si>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</si>
  <si>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</si>
  <si>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</si>
  <si>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</si>
  <si>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</si>
  <si>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</si>
  <si>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</si>
  <si>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</si>
  <si>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</si>
  <si>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</si>
  <si>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</si>
  <si>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</si>
  <si>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</si>
  <si>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</si>
  <si>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</si>
  <si>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</si>
  <si>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</si>
  <si>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</si>
  <si>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</si>
  <si>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</si>
  <si>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</si>
  <si>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</si>
  <si>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</si>
  <si>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</si>
  <si>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</si>
  <si>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</si>
  <si>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</si>
  <si>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</si>
  <si>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</si>
  <si>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</si>
  <si>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</si>
  <si>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</si>
  <si>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</si>
  <si>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</si>
  <si>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</si>
  <si>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</si>
  <si>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</si>
  <si>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</si>
  <si>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</si>
  <si>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</si>
  <si>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</si>
  <si>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</si>
  <si>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</si>
  <si>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</si>
  <si>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</si>
  <si>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</si>
  <si>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</si>
  <si>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</si>
  <si>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</si>
  <si>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</si>
  <si>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</si>
  <si>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</si>
  <si>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</si>
  <si>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</si>
  <si>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</si>
  <si>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</si>
  <si>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</si>
  <si>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</si>
  <si>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</si>
  <si>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</si>
  <si>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</si>
  <si>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</si>
  <si>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</si>
  <si>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</si>
  <si>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</si>
  <si>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</si>
  <si>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</si>
  <si>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</si>
  <si>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</si>
  <si>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</si>
  <si>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</si>
  <si>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</si>
  <si>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</si>
  <si>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</si>
  <si>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</si>
  <si>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</si>
  <si>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</si>
  <si>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</si>
  <si>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</si>
  <si>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</si>
  <si>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</si>
  <si>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</si>
  <si>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</si>
  <si>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</si>
  <si>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</si>
  <si>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</si>
  <si>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</si>
  <si>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</si>
  <si>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</si>
  <si>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</si>
  <si>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</si>
  <si>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</si>
  <si>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</si>
  <si>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</si>
  <si>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</si>
  <si>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</si>
  <si>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</si>
  <si>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</si>
  <si>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</si>
  <si>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</si>
  <si>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</si>
  <si>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</si>
  <si>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</si>
  <si>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</si>
  <si>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</si>
  <si>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</si>
  <si>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</si>
  <si>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</si>
  <si>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</si>
  <si>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</si>
  <si>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</si>
  <si>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</si>
  <si>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</si>
  <si>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</si>
  <si>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</si>
  <si>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</si>
  <si>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</si>
  <si>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</si>
  <si>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</si>
  <si>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</si>
  <si>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</si>
  <si>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</si>
  <si>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</si>
  <si>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</si>
  <si>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</si>
  <si>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</si>
  <si>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</si>
  <si>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</si>
  <si>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</si>
  <si>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</si>
  <si>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</si>
  <si>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</si>
  <si>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</si>
  <si>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</si>
  <si>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</si>
  <si>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</si>
  <si>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</si>
  <si>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</si>
  <si>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</si>
  <si>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</si>
  <si>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</si>
  <si>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</si>
  <si>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</si>
  <si>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</si>
  <si>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</si>
  <si>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</si>
  <si>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</si>
  <si>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</si>
  <si>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</si>
  <si>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</si>
  <si>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</si>
  <si>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</si>
  <si>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</si>
  <si>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</si>
  <si>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</si>
  <si>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</si>
  <si>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</si>
  <si>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</si>
  <si>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</si>
  <si>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</si>
  <si>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</si>
  <si>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</si>
  <si>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</si>
  <si>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</si>
  <si>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</si>
  <si>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</si>
  <si>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</si>
  <si>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</si>
  <si>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</si>
  <si>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</si>
  <si>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</si>
  <si>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</si>
  <si>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</si>
  <si>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</si>
  <si>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</si>
  <si>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</si>
  <si>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</si>
  <si>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</si>
  <si>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</si>
  <si>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</si>
  <si>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</si>
  <si>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</si>
  <si>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</si>
  <si>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</si>
  <si>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</si>
  <si>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</si>
  <si>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</si>
  <si>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</si>
  <si>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</si>
  <si>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</si>
  <si>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</si>
  <si>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</si>
  <si>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</si>
  <si>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</si>
  <si>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</si>
  <si>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</si>
  <si>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</si>
  <si>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</si>
  <si>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</si>
  <si>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</si>
  <si>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</si>
  <si>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</si>
  <si>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</si>
  <si>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</si>
  <si>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</si>
  <si>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</si>
  <si>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</si>
  <si>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</si>
  <si>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</si>
  <si>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</si>
  <si>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</si>
  <si>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</si>
  <si>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</si>
  <si>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</si>
  <si>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</si>
  <si>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</si>
  <si>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</si>
  <si>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</si>
  <si>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</si>
  <si>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</si>
  <si>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</si>
  <si>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</si>
  <si>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</si>
  <si>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</si>
  <si>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</si>
  <si>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</si>
  <si>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</si>
  <si>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</si>
  <si>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</si>
  <si>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</si>
  <si>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</si>
  <si>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</si>
  <si>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</si>
  <si>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</si>
  <si>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</si>
  <si>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</si>
  <si>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</si>
  <si>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</si>
  <si>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</si>
  <si>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</si>
  <si>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</si>
  <si>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</si>
  <si>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</si>
  <si>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</si>
  <si>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</si>
  <si>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</si>
  <si>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</si>
  <si>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</si>
  <si>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</si>
  <si>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</si>
  <si>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</si>
  <si>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</si>
  <si>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</si>
  <si>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</si>
  <si>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</si>
  <si>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</si>
  <si>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</si>
  <si>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</si>
  <si>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</si>
  <si>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</si>
  <si>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</si>
  <si>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</si>
  <si>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</si>
  <si>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</si>
  <si>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</si>
  <si>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</si>
  <si>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</si>
  <si>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</si>
  <si>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</si>
  <si>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</si>
  <si>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</si>
  <si>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</si>
  <si>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</si>
  <si>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</si>
  <si>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</si>
  <si>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</si>
  <si>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</si>
  <si>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</si>
  <si>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</si>
  <si>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</si>
  <si>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</si>
  <si>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</si>
  <si>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</si>
  <si>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</si>
  <si>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</si>
  <si>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</si>
  <si>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</si>
  <si>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</si>
  <si>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</si>
  <si>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</si>
  <si>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</si>
  <si>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</si>
  <si>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</si>
  <si>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</si>
  <si>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</si>
  <si>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</si>
  <si>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</si>
  <si>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</si>
  <si>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</si>
  <si>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</si>
  <si>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</si>
  <si>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</si>
  <si>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</si>
  <si>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</si>
  <si>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</si>
  <si>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</si>
  <si>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</si>
  <si>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</si>
  <si>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</si>
  <si>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</si>
  <si>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</si>
  <si>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</si>
  <si>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</si>
  <si>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</si>
  <si>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</si>
  <si>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</si>
  <si>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</si>
  <si>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</si>
  <si>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</si>
  <si>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</si>
  <si>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</si>
  <si>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</si>
  <si>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</si>
  <si>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</si>
  <si>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</si>
  <si>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</si>
  <si>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</si>
  <si>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</si>
  <si>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</si>
  <si>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</si>
  <si>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</si>
  <si>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</si>
  <si>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</si>
  <si>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</si>
  <si>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</si>
  <si>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</si>
  <si>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</si>
  <si>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</si>
  <si>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</si>
  <si>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</si>
  <si>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</si>
  <si>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</si>
  <si>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</si>
  <si>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</si>
  <si>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</si>
  <si>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</si>
  <si>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</si>
  <si>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</si>
  <si>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</si>
  <si>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</si>
  <si>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</si>
  <si>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</si>
  <si>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</si>
  <si>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</si>
  <si>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</si>
  <si>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</si>
  <si>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</si>
  <si>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</si>
  <si>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</si>
  <si>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</si>
  <si>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</si>
  <si>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</si>
  <si>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</si>
  <si>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</si>
  <si>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</si>
  <si>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</si>
  <si>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</si>
  <si>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</si>
  <si>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</si>
  <si>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</si>
  <si>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</si>
  <si>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</si>
  <si>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</si>
  <si>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</si>
  <si>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</si>
  <si>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</si>
  <si>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</si>
  <si>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</si>
  <si>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</si>
  <si>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</si>
  <si>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</si>
  <si>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</si>
  <si>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</si>
  <si>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</si>
  <si>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</si>
  <si>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</si>
  <si>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</si>
  <si>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</si>
  <si>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</si>
  <si>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</si>
  <si>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</si>
  <si>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</si>
  <si>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</si>
  <si>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</si>
  <si>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</si>
  <si>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</si>
  <si>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</si>
  <si>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</si>
  <si>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</si>
  <si>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</si>
  <si>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</si>
  <si>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</si>
  <si>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</si>
  <si>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</si>
  <si>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</si>
  <si>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</si>
  <si>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</si>
  <si>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</si>
  <si>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</si>
  <si>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</si>
  <si>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</si>
  <si>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</si>
  <si>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</si>
  <si>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</si>
  <si>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</si>
  <si>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</si>
  <si>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</si>
  <si>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</si>
  <si>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</si>
  <si>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</si>
  <si>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</si>
  <si>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</si>
  <si>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</si>
  <si>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</si>
  <si>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</si>
  <si>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</si>
  <si>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</si>
  <si>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</si>
  <si>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</si>
  <si>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</si>
  <si>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</si>
  <si>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</si>
  <si>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</si>
  <si>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</si>
  <si>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</si>
  <si>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</si>
  <si>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</si>
  <si>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</si>
  <si>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</si>
  <si>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</si>
  <si>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</si>
  <si>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</si>
  <si>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</si>
  <si>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</si>
  <si>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</si>
  <si>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</si>
  <si>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</si>
  <si>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</si>
  <si>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</si>
  <si>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</si>
  <si>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</si>
  <si>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</si>
  <si>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</si>
  <si>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</si>
  <si>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</si>
  <si>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</si>
  <si>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</si>
  <si>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</si>
  <si>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</si>
  <si>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</si>
  <si>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</si>
  <si>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</si>
  <si>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</si>
  <si>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</si>
  <si>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</si>
  <si>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</si>
  <si>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</si>
  <si>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</si>
  <si>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</si>
  <si>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</si>
  <si>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</si>
  <si>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</si>
  <si>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</si>
  <si>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</si>
  <si>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</si>
  <si>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</si>
  <si>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Tavignano</t>
  </si>
  <si>
    <t xml:space="preserve">Altiani</t>
  </si>
  <si>
    <t xml:space="preserve">06215540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</si>
  <si>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</si>
  <si>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</si>
  <si>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</si>
  <si>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</si>
  <si>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</si>
  <si>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</si>
  <si>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</si>
  <si>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</si>
  <si>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</si>
  <si>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</si>
  <si>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</si>
  <si>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</si>
  <si>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</si>
  <si>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</si>
  <si>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</si>
  <si>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</si>
  <si>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</si>
  <si>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</si>
  <si>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</si>
  <si>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</si>
  <si>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</si>
  <si>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</si>
  <si>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</si>
  <si>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</si>
  <si>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</si>
  <si>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</si>
  <si>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</si>
  <si>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</si>
  <si>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</si>
  <si>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</si>
  <si>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</si>
  <si>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</si>
  <si>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</si>
  <si>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</si>
  <si>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</si>
  <si>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</si>
  <si>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</si>
  <si>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</si>
  <si>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</si>
  <si>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</si>
  <si>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</si>
  <si>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</si>
  <si>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</si>
  <si>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</si>
  <si>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</si>
  <si>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</si>
  <si>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</si>
  <si>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</si>
  <si>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</si>
  <si>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</si>
  <si>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(0,077114 %)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</si>
  <si>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</si>
  <si>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</si>
  <si>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</si>
  <si>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</si>
  <si>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</si>
  <si>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</si>
  <si>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</si>
  <si>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</si>
  <si>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</si>
  <si>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</si>
  <si>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</si>
  <si>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</si>
  <si>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</si>
  <si>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</si>
  <si>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</si>
  <si>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</si>
  <si>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</si>
  <si>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</si>
  <si>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</si>
  <si>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</si>
  <si>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Equisetum ramosissimum</t>
  </si>
  <si>
    <t xml:space="preserve">Paspalum sp.</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</si>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</sst>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2">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65" fontId="103" fillId="0" borderId="0" xfId="0" applyFont="true" applyBorder="false" applyAlignment="false" applyProtection="true">
      <alignment horizontal="general" vertical="bottom"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11.5333333333333</v>
      </c>
      <c r="M5" s="323"/>
      <c r="N5" s="324" t="s">
        <v>154</v>
      </c>
      <c r="O5" s="325" t="n">
        <v>11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67</v>
      </c>
      <c r="C7" s="337" t="n">
        <v>33</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7.07142857142857</v>
      </c>
      <c r="O8" s="354" t="n">
        <f aca="false">IF(ISERROR(AVERAGE(J23:J82)),"      -",AVERAGE(J23:J82))</f>
        <v>1.07142857142857</v>
      </c>
      <c r="P8" s="355"/>
      <c r="Q8" s="280"/>
      <c r="R8" s="280"/>
      <c r="S8" s="280"/>
      <c r="T8" s="280"/>
      <c r="U8" s="280"/>
      <c r="V8" s="280"/>
      <c r="W8" s="292"/>
      <c r="X8" s="293"/>
    </row>
    <row r="9" customFormat="false" ht="13.5" hidden="false" customHeight="false" outlineLevel="0" collapsed="false">
      <c r="A9" s="313" t="s">
        <v>2635</v>
      </c>
      <c r="B9" s="356" t="n">
        <v>0.1</v>
      </c>
      <c r="C9" s="357" t="n">
        <v>0.05</v>
      </c>
      <c r="D9" s="358"/>
      <c r="E9" s="358"/>
      <c r="F9" s="359" t="n">
        <f aca="false">($B9*$B$7+$C9*$C$7)/100</f>
        <v>0.0835</v>
      </c>
      <c r="G9" s="360"/>
      <c r="H9" s="361"/>
      <c r="I9" s="362"/>
      <c r="J9" s="363"/>
      <c r="K9" s="343"/>
      <c r="L9" s="364"/>
      <c r="M9" s="353" t="s">
        <v>2636</v>
      </c>
      <c r="N9" s="354" t="n">
        <f aca="false">IF(ISERROR(STDEVP(I23:I82)),"     -",STDEVP(I23:I82))</f>
        <v>5.67531353085179</v>
      </c>
      <c r="O9" s="354" t="n">
        <f aca="false">IF(ISERROR(STDEVP(J23:J82)),"      -",STDEVP(J23:J82))</f>
        <v>0.960973146219551</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6</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0.095</v>
      </c>
      <c r="C20" s="436" t="n">
        <f aca="false">SUM(C23:C82)</f>
        <v>0.0408</v>
      </c>
      <c r="D20" s="437"/>
      <c r="E20" s="438" t="s">
        <v>2660</v>
      </c>
      <c r="F20" s="439" t="n">
        <f aca="false">($B20*$B$7+$C20*$C$7)/100</f>
        <v>0.077114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0.06365</v>
      </c>
      <c r="C21" s="449" t="n">
        <f aca="false">C20*C7/100</f>
        <v>0.013464</v>
      </c>
      <c r="D21" s="381" t="str">
        <f aca="false">IF(F21=0,"",IF((ABS(F21-F19))&gt;(0.2*F21),CONCATENATE(" rec. par taxa (",F21," %) supérieur à 20 % !"),""))</f>
        <v> rec. par taxa (0,077114 %) supérieur à 20 % !</v>
      </c>
      <c r="E21" s="450" t="str">
        <f aca="false">IF(F21=0,"",IF((ABS(F21-F19))&gt;(0.2*F21),CONCATENATE("ATTENTION : écart entre rec. par grp (",F19," %) ","et",""),""))</f>
        <v>ATTENTION : écart entre rec. par grp (0 %) et</v>
      </c>
      <c r="F21" s="451" t="n">
        <f aca="false">B21+C21</f>
        <v>0.077114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154</v>
      </c>
      <c r="B23" s="475" t="n">
        <v>0.005</v>
      </c>
      <c r="C23" s="476"/>
      <c r="D23" s="477" t="str">
        <f aca="false">IF(ISERROR(VLOOKUP($A23,'liste reference'!$A$7:$D$904,2,0)),IF(ISERROR(VLOOKUP($A23,'liste reference'!$B$7:$D$904,1,0)),"",VLOOKUP($A23,'liste reference'!$B$7:$D$904,1,0)),VLOOKUP($A23,'liste reference'!$A$7:$D$904,2,0))</f>
        <v>Lemanea sp.</v>
      </c>
      <c r="E23" s="477" t="e">
        <f aca="false">IF(D23="",0,VLOOKUP(D23,D$22:D22,1,0))</f>
        <v>#N/A</v>
      </c>
      <c r="F23" s="478" t="n">
        <f aca="false">($B23*$B$7+$C23*$C$7)/100</f>
        <v>0.00335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1159</v>
      </c>
      <c r="Q23" s="486" t="n">
        <f aca="false">IF(ISTEXT(H23),"",(B23*$B$7/100)+(C23*$C$7/100))</f>
        <v>0.00335</v>
      </c>
      <c r="R23" s="487" t="n">
        <f aca="false">IF(OR(ISTEXT(H23),Q23=0),"",IF(Q23&lt;0.1,1,IF(Q23&lt;1,2,IF(Q23&lt;10,3,IF(Q23&lt;50,4,IF(Q23&gt;=50,5,""))))))</f>
        <v>1</v>
      </c>
      <c r="S23" s="487" t="n">
        <f aca="false">IF(ISERROR(R23*I23),0,R23*I23)</f>
        <v>15</v>
      </c>
      <c r="T23" s="487" t="n">
        <f aca="false">IF(ISERROR(R23*I23*J23),0,R23*I23*J23)</f>
        <v>30</v>
      </c>
      <c r="U23" s="487" t="n">
        <f aca="false">IF(ISERROR(R23*J23),0,R23*J23)</f>
        <v>2</v>
      </c>
      <c r="V23" s="488" t="str">
        <f aca="false">IF(AND(A23="",F23=0),"",IF(F23=0,"Il manque le(s) % de rec. !",""))</f>
        <v/>
      </c>
      <c r="W23" s="489"/>
      <c r="Y23" s="490" t="str">
        <f aca="false">IF(A23="new.cod","NEWCOD",IF(AND((Z23=""),ISTEXT(A23)),A23,IF(Z23="","",INDEX('liste reference'!$A$8:$A$904,Z23))))</f>
        <v>LEASPX</v>
      </c>
      <c r="Z23" s="280" t="n">
        <f aca="false">IF(ISERROR(MATCH(A23,'liste reference'!$A$8:$A$904,0)),IF(ISERROR(MATCH(A23,'liste reference'!$B$8:$B$904,0)),"",(MATCH(A23,'liste reference'!$B$8:$B$904,0))),(MATCH(A23,'liste reference'!$A$8:$A$904,0)))</f>
        <v>34</v>
      </c>
      <c r="AA23" s="491"/>
      <c r="AB23" s="492"/>
      <c r="AC23" s="492"/>
      <c r="BB23" s="280" t="n">
        <f aca="false">IF(A23="","",1)</f>
        <v>1</v>
      </c>
    </row>
    <row r="24" customFormat="false" ht="12.75" hidden="false" customHeight="false" outlineLevel="0" collapsed="false">
      <c r="A24" s="493" t="s">
        <v>166</v>
      </c>
      <c r="B24" s="494" t="n">
        <v>0.01</v>
      </c>
      <c r="C24" s="495"/>
      <c r="D24" s="477" t="str">
        <f aca="false">IF(ISERROR(VLOOKUP($A24,'liste reference'!$A$7:$D$904,2,0)),IF(ISERROR(VLOOKUP($A24,'liste reference'!$B$7:$D$904,1,0)),"",VLOOKUP($A24,'liste reference'!$B$7:$D$904,1,0)),VLOOKUP($A24,'liste reference'!$A$7:$D$904,2,0))</f>
        <v>Microcoleus sp.</v>
      </c>
      <c r="E24" s="496" t="e">
        <f aca="false">IF(D24="",0,VLOOKUP(D24,D$22:D23,1,0))</f>
        <v>#N/A</v>
      </c>
      <c r="F24" s="497" t="n">
        <f aca="false">($B24*$B$7+$C24*$C$7)/100</f>
        <v>0.0067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Microcoleus sp.</v>
      </c>
      <c r="L24" s="498"/>
      <c r="M24" s="498"/>
      <c r="N24" s="498"/>
      <c r="O24" s="484" t="s">
        <v>2685</v>
      </c>
      <c r="P24" s="485" t="n">
        <f aca="false">IF($A24="NEWCOD",IF($AC24="","No",$AC24),IF(ISTEXT($E24),"DEJA SAISI !",IF($A24="","",IF(ISERROR(VLOOKUP($A24,'liste reference'!A:S,19,FALSE())),IF(ISERROR(VLOOKUP($A24,'liste reference'!B:S,19,FALSE())),"",VLOOKUP($A24,'liste reference'!B:S,19,FALSE())),VLOOKUP($A24,'liste reference'!A:S,19,FALSE())))))</f>
        <v>6405</v>
      </c>
      <c r="Q24" s="486" t="n">
        <f aca="false">IF(ISTEXT(H24),"",(B24*$B$7/100)+(C24*$C$7/100))</f>
        <v>0.0067</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MIRSPX</v>
      </c>
      <c r="Z24" s="280" t="n">
        <f aca="false">IF(ISERROR(MATCH(A24,'liste reference'!$A$8:$A$904,0)),IF(ISERROR(MATCH(A24,'liste reference'!$B$8:$B$904,0)),"",(MATCH(A24,'liste reference'!$B$8:$B$904,0))),(MATCH(A24,'liste reference'!$A$8:$A$904,0)))</f>
        <v>38</v>
      </c>
      <c r="AA24" s="491" t="s">
        <v>2685</v>
      </c>
      <c r="AB24" s="492"/>
      <c r="AC24" s="492"/>
      <c r="BB24" s="280" t="n">
        <f aca="false">IF(A24="","",1)</f>
        <v>1</v>
      </c>
    </row>
    <row r="25" customFormat="false" ht="12.75" hidden="false" customHeight="false" outlineLevel="0" collapsed="false">
      <c r="A25" s="493" t="s">
        <v>220</v>
      </c>
      <c r="B25" s="494" t="n">
        <v>0.005</v>
      </c>
      <c r="C25" s="495" t="n">
        <v>0.005</v>
      </c>
      <c r="D25" s="477" t="str">
        <f aca="false">IF(ISERROR(VLOOKUP($A25,'liste reference'!$A$7:$D$904,2,0)),IF(ISERROR(VLOOKUP($A25,'liste reference'!$B$7:$D$904,1,0)),"",VLOOKUP($A25,'liste reference'!$B$7:$D$904,1,0)),VLOOKUP($A25,'liste reference'!$A$7:$D$904,2,0))</f>
        <v>Nostoc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9</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Nostoc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1105</v>
      </c>
      <c r="Q25" s="486" t="n">
        <f aca="false">IF(ISTEXT(H25),"",(B25*$B$7/100)+(C25*$C$7/100))</f>
        <v>0.005</v>
      </c>
      <c r="R25" s="487" t="n">
        <f aca="false">IF(OR(ISTEXT(H25),Q25=0),"",IF(Q25&lt;0.1,1,IF(Q25&lt;1,2,IF(Q25&lt;10,3,IF(Q25&lt;50,4,IF(Q25&gt;=50,5,""))))))</f>
        <v>1</v>
      </c>
      <c r="S25" s="487" t="n">
        <f aca="false">IF(ISERROR(R25*I25),0,R25*I25)</f>
        <v>9</v>
      </c>
      <c r="T25" s="487" t="n">
        <f aca="false">IF(ISERROR(R25*I25*J25),0,R25*I25*J25)</f>
        <v>9</v>
      </c>
      <c r="U25" s="499" t="n">
        <f aca="false">IF(ISERROR(R25*J25),0,R25*J25)</f>
        <v>1</v>
      </c>
      <c r="V25" s="488" t="str">
        <f aca="false">IF(AND(A25="",F25=0),"",IF(F25=0,"Il manque le(s) % de rec. !",""))</f>
        <v/>
      </c>
      <c r="W25" s="489"/>
      <c r="Y25" s="490" t="str">
        <f aca="false">IF(A25="new.cod","NEWCOD",IF(AND((Z25=""),ISTEXT(A25)),A25,IF(Z25="","",INDEX('liste reference'!$A$8:$A$904,Z25))))</f>
        <v>NOSSPX</v>
      </c>
      <c r="Z25" s="280" t="n">
        <f aca="false">IF(ISERROR(MATCH(A25,'liste reference'!$A$8:$A$904,0)),IF(ISERROR(MATCH(A25,'liste reference'!$B$8:$B$904,0)),"",(MATCH(A25,'liste reference'!$B$8:$B$904,0))),(MATCH(A25,'liste reference'!$A$8:$A$904,0)))</f>
        <v>54</v>
      </c>
      <c r="AA25" s="491"/>
      <c r="AB25" s="492"/>
      <c r="AC25" s="492"/>
      <c r="BB25" s="280" t="n">
        <f aca="false">IF(A25="","",1)</f>
        <v>1</v>
      </c>
    </row>
    <row r="26" customFormat="false" ht="12.75" hidden="false" customHeight="false" outlineLevel="0" collapsed="false">
      <c r="A26" s="493" t="s">
        <v>223</v>
      </c>
      <c r="B26" s="494" t="n">
        <v>0.01</v>
      </c>
      <c r="C26" s="495" t="n">
        <v>0.0058</v>
      </c>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0.008614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0.008614</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228</v>
      </c>
      <c r="B27" s="494" t="n">
        <v>0.005</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0.00335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0.00335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t="s">
        <v>2685</v>
      </c>
      <c r="AB27" s="492"/>
      <c r="AC27" s="492"/>
      <c r="BB27" s="280" t="n">
        <f aca="false">IF(A27="","",1)</f>
        <v>1</v>
      </c>
    </row>
    <row r="28" customFormat="false" ht="12.75" hidden="false" customHeight="false" outlineLevel="0" collapsed="false">
      <c r="A28" s="493" t="s">
        <v>258</v>
      </c>
      <c r="B28" s="494" t="n">
        <v>0.005</v>
      </c>
      <c r="C28" s="495" t="n">
        <v>0.005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0.005</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852</v>
      </c>
      <c r="B29" s="494" t="n">
        <v>0.005</v>
      </c>
      <c r="C29" s="495"/>
      <c r="D29" s="477" t="str">
        <f aca="false">IF(ISERROR(VLOOKUP($A29,'liste reference'!$A$7:$D$904,2,0)),IF(ISERROR(VLOOKUP($A29,'liste reference'!$B$7:$D$904,1,0)),"",VLOOKUP($A29,'liste reference'!$B$7:$D$904,1,0)),VLOOKUP($A29,'liste reference'!$A$7:$D$904,2,0))</f>
        <v>Fissidens crassipes</v>
      </c>
      <c r="E29" s="496" t="e">
        <f aca="false">IF(D29="",0,VLOOKUP(D29,D$22:D28,1,0))</f>
        <v>#N/A</v>
      </c>
      <c r="F29" s="497" t="n">
        <f aca="false">($B29*$B$7+$C29*$C$7)/100</f>
        <v>0.00335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12</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crassipes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1294</v>
      </c>
      <c r="Q29" s="486" t="n">
        <f aca="false">IF(ISTEXT(H29),"",(B29*$B$7/100)+(C29*$C$7/100))</f>
        <v>0.00335</v>
      </c>
      <c r="R29" s="487" t="n">
        <f aca="false">IF(OR(ISTEXT(H29),Q29=0),"",IF(Q29&lt;0.1,1,IF(Q29&lt;1,2,IF(Q29&lt;10,3,IF(Q29&lt;50,4,IF(Q29&gt;=50,5,""))))))</f>
        <v>1</v>
      </c>
      <c r="S29" s="487" t="n">
        <f aca="false">IF(ISERROR(R29*I29),0,R29*I29)</f>
        <v>12</v>
      </c>
      <c r="T29" s="487" t="n">
        <f aca="false">IF(ISERROR(R29*I29*J29),0,R29*I29*J29)</f>
        <v>24</v>
      </c>
      <c r="U29" s="499" t="n">
        <f aca="false">IF(ISERROR(R29*J29),0,R29*J29)</f>
        <v>2</v>
      </c>
      <c r="V29" s="488" t="str">
        <f aca="false">IF(AND(A29="",F29=0),"",IF(F29=0,"Il manque le(s) % de rec. !",""))</f>
        <v/>
      </c>
      <c r="W29" s="489"/>
      <c r="Y29" s="490" t="str">
        <f aca="false">IF(A29="new.cod","NEWCOD",IF(AND((Z29=""),ISTEXT(A29)),A29,IF(Z29="","",INDEX('liste reference'!$A$8:$A$904,Z29))))</f>
        <v>FISCRA</v>
      </c>
      <c r="Z29" s="280" t="n">
        <f aca="false">IF(ISERROR(MATCH(A29,'liste reference'!$A$8:$A$904,0)),IF(ISERROR(MATCH(A29,'liste reference'!$B$8:$B$904,0)),"",(MATCH(A29,'liste reference'!$B$8:$B$904,0))),(MATCH(A29,'liste reference'!$A$8:$A$904,0)))</f>
        <v>197</v>
      </c>
      <c r="AA29" s="491"/>
      <c r="AB29" s="492"/>
      <c r="AC29" s="492"/>
      <c r="BB29" s="280" t="n">
        <f aca="false">IF(A29="","",1)</f>
        <v>1</v>
      </c>
    </row>
    <row r="30" customFormat="false" ht="12.75" hidden="false" customHeight="false" outlineLevel="0" collapsed="false">
      <c r="A30" s="493" t="s">
        <v>896</v>
      </c>
      <c r="B30" s="494" t="n">
        <v>0.005</v>
      </c>
      <c r="C30" s="495" t="n">
        <v>0.005</v>
      </c>
      <c r="D30" s="477" t="str">
        <f aca="false">IF(ISERROR(VLOOKUP($A30,'liste reference'!$A$7:$D$904,2,0)),IF(ISERROR(VLOOKUP($A30,'liste reference'!$B$7:$D$904,1,0)),"",VLOOKUP($A30,'liste reference'!$B$7:$D$904,1,0)),VLOOKUP($A30,'liste reference'!$A$7:$D$904,2,0))</f>
        <v>Fontinalis antipyretica</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Fontinalis antipyretica</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1310</v>
      </c>
      <c r="Q30" s="486" t="n">
        <f aca="false">IF(ISTEXT(H30),"",(B30*$B$7/100)+(C30*$C$7/100))</f>
        <v>0.005</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FONANT</v>
      </c>
      <c r="Z30" s="280" t="n">
        <f aca="false">IF(ISERROR(MATCH(A30,'liste reference'!$A$8:$A$904,0)),IF(ISERROR(MATCH(A30,'liste reference'!$B$8:$B$904,0)),"",(MATCH(A30,'liste reference'!$B$8:$B$904,0))),(MATCH(A30,'liste reference'!$A$8:$A$904,0)))</f>
        <v>210</v>
      </c>
      <c r="AA30" s="491"/>
      <c r="AB30" s="492"/>
      <c r="AC30" s="492"/>
      <c r="BB30" s="280" t="n">
        <f aca="false">IF(A30="","",1)</f>
        <v>1</v>
      </c>
    </row>
    <row r="31" customFormat="false" ht="12.75" hidden="false" customHeight="false" outlineLevel="0" collapsed="false">
      <c r="A31" s="493" t="s">
        <v>910</v>
      </c>
      <c r="B31" s="494" t="n">
        <v>0.01</v>
      </c>
      <c r="C31" s="495" t="n">
        <v>0.005</v>
      </c>
      <c r="D31" s="477" t="str">
        <f aca="false">IF(ISERROR(VLOOKUP($A31,'liste reference'!$A$7:$D$904,2,0)),IF(ISERROR(VLOOKUP($A31,'liste reference'!$B$7:$D$904,1,0)),"",VLOOKUP($A31,'liste reference'!$B$7:$D$904,1,0)),VLOOKUP($A31,'liste reference'!$A$7:$D$904,2,0))</f>
        <v>Fontinalis hypnoides var. duriaei</v>
      </c>
      <c r="E31" s="496" t="e">
        <f aca="false">IF(D31="",0,VLOOKUP(D31,D$22:D30,1,0))</f>
        <v>#N/A</v>
      </c>
      <c r="F31" s="497" t="n">
        <f aca="false">($B31*$B$7+$C31*$C$7)/100</f>
        <v>0.00835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14</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hypnoides var. duriaei</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10215</v>
      </c>
      <c r="Q31" s="486" t="n">
        <f aca="false">IF(ISTEXT(H31),"",(B31*$B$7/100)+(C31*$C$7/100))</f>
        <v>0.00835</v>
      </c>
      <c r="R31" s="487" t="n">
        <f aca="false">IF(OR(ISTEXT(H31),Q31=0),"",IF(Q31&lt;0.1,1,IF(Q31&lt;1,2,IF(Q31&lt;10,3,IF(Q31&lt;50,4,IF(Q31&gt;=50,5,""))))))</f>
        <v>1</v>
      </c>
      <c r="S31" s="487" t="n">
        <f aca="false">IF(ISERROR(R31*I31),0,R31*I31)</f>
        <v>14</v>
      </c>
      <c r="T31" s="487" t="n">
        <f aca="false">IF(ISERROR(R31*I31*J31),0,R31*I31*J31)</f>
        <v>42</v>
      </c>
      <c r="U31" s="499" t="n">
        <f aca="false">IF(ISERROR(R31*J31),0,R31*J31)</f>
        <v>3</v>
      </c>
      <c r="V31" s="488" t="str">
        <f aca="false">IF(AND(A31="",F31=0),"",IF(F31=0,"Il manque le(s) % de rec. !",""))</f>
        <v/>
      </c>
      <c r="W31" s="489"/>
      <c r="Y31" s="490" t="str">
        <f aca="false">IF(A31="new.cod","NEWCOD",IF(AND((Z31=""),ISTEXT(A31)),A31,IF(Z31="","",INDEX('liste reference'!$A$8:$A$904,Z31))))</f>
        <v>FONHYD</v>
      </c>
      <c r="Z31" s="280" t="n">
        <f aca="false">IF(ISERROR(MATCH(A31,'liste reference'!$A$8:$A$904,0)),IF(ISERROR(MATCH(A31,'liste reference'!$B$8:$B$904,0)),"",(MATCH(A31,'liste reference'!$B$8:$B$904,0))),(MATCH(A31,'liste reference'!$A$8:$A$904,0)))</f>
        <v>212</v>
      </c>
      <c r="AA31" s="491"/>
      <c r="AB31" s="492"/>
      <c r="AC31" s="492"/>
      <c r="BB31" s="280" t="n">
        <f aca="false">IF(A31="","",1)</f>
        <v>1</v>
      </c>
    </row>
    <row r="32" customFormat="false" ht="12.75" hidden="false" customHeight="false" outlineLevel="0" collapsed="false">
      <c r="A32" s="493" t="s">
        <v>1153</v>
      </c>
      <c r="B32" s="494" t="n">
        <v>0.005</v>
      </c>
      <c r="C32" s="495"/>
      <c r="D32" s="477" t="str">
        <f aca="false">IF(ISERROR(VLOOKUP($A32,'liste reference'!$A$7:$D$904,2,0)),IF(ISERROR(VLOOKUP($A32,'liste reference'!$B$7:$D$904,1,0)),"",VLOOKUP($A32,'liste reference'!$B$7:$D$904,1,0)),VLOOKUP($A32,'liste reference'!$A$7:$D$904,2,0))</f>
        <v>Equisetum arvense</v>
      </c>
      <c r="E32" s="496" t="e">
        <f aca="false">IF(D32="",0,VLOOKUP(D32,D$22:D31,1,0))</f>
        <v>#N/A</v>
      </c>
      <c r="F32" s="497" t="n">
        <f aca="false">($B32*$B$7+$C32*$C$7)/100</f>
        <v>0.00335</v>
      </c>
      <c r="G32" s="479" t="str">
        <f aca="false">IF(A32="","",IF(ISERROR(VLOOKUP($A32,'liste reference'!$A$7:$P$904,13,0)),IF(ISERROR(VLOOKUP($A32,'liste reference'!$B$7:$P$904,12,0)),"    -",VLOOKUP($A32,'liste reference'!$B$7:$P$904,12,0)),VLOOKUP($A32,'liste reference'!$A$7:$P$904,13,0)))</f>
        <v>PTE</v>
      </c>
      <c r="H32" s="480" t="n">
        <f aca="false">IF(A32="","x",IF(ISERROR(VLOOKUP($A32,'liste reference'!$A$8:$P$904,14,0)),IF(ISERROR(VLOOKUP($A32,'liste reference'!$B$8:$P$904,13,0)),"x",VLOOKUP($A32,'liste reference'!$B$8:$P$904,13,0)),VLOOKUP($A32,'liste reference'!$A$8:$P$904,14,0)))</f>
        <v>6</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arvense</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1384</v>
      </c>
      <c r="Q32" s="486" t="n">
        <f aca="false">IF(ISTEXT(H32),"",(B32*$B$7/100)+(C32*$C$7/100))</f>
        <v>0.00335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EQUARV</v>
      </c>
      <c r="Z32" s="280" t="n">
        <f aca="false">IF(ISERROR(MATCH(A32,'liste reference'!$A$8:$A$904,0)),IF(ISERROR(MATCH(A32,'liste reference'!$B$8:$B$904,0)),"",(MATCH(A32,'liste reference'!$B$8:$B$904,0))),(MATCH(A32,'liste reference'!$A$8:$A$904,0)))</f>
        <v>278</v>
      </c>
      <c r="AA32" s="491"/>
      <c r="AB32" s="492"/>
      <c r="AC32" s="492"/>
      <c r="BB32" s="280" t="n">
        <f aca="false">IF(A32="","",1)</f>
        <v>1</v>
      </c>
    </row>
    <row r="33" customFormat="false" ht="12.75" hidden="false" customHeight="false" outlineLevel="0" collapsed="false">
      <c r="A33" s="493" t="s">
        <v>1708</v>
      </c>
      <c r="B33" s="494" t="n">
        <v>0.005</v>
      </c>
      <c r="C33" s="495" t="n">
        <v>0.005</v>
      </c>
      <c r="D33" s="477" t="str">
        <f aca="false">IF(ISERROR(VLOOKUP($A33,'liste reference'!$A$7:$D$904,2,0)),IF(ISERROR(VLOOKUP($A33,'liste reference'!$B$7:$D$904,1,0)),"",VLOOKUP($A33,'liste reference'!$B$7:$D$904,1,0)),VLOOKUP($A33,'liste reference'!$A$7:$D$904,2,0))</f>
        <v>Agrostis stolonifera</v>
      </c>
      <c r="E33" s="496" t="e">
        <f aca="false">IF(D33="",0,VLOOKUP(D33,D$17:D31,1,0))</f>
        <v>#N/A</v>
      </c>
      <c r="F33" s="497" t="n">
        <f aca="false">($B33*$B$7+$C33*$C$7)/100</f>
        <v>0.005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Agrostis stolonifera</v>
      </c>
      <c r="L33" s="498"/>
      <c r="M33" s="498"/>
      <c r="N33" s="498"/>
      <c r="O33" s="484" t="s">
        <v>2685</v>
      </c>
      <c r="P33" s="485" t="n">
        <f aca="false">IF($A33="NEWCOD",IF($AC33="","No",$AC33),IF(ISTEXT($E33),"DEJA SAISI !",IF($A33="","",IF(ISERROR(VLOOKUP($A33,'liste reference'!A:S,19,FALSE())),IF(ISERROR(VLOOKUP($A33,'liste reference'!B:S,19,FALSE())),"",VLOOKUP($A33,'liste reference'!B:S,19,FALSE())),VLOOKUP($A33,'liste reference'!A:S,19,FALSE())))))</f>
        <v>1543</v>
      </c>
      <c r="Q33" s="486" t="n">
        <f aca="false">IF(ISTEXT(H33),"",(B33*$B$7/100)+(C33*$C$7/100))</f>
        <v>0.005</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AGRSTO</v>
      </c>
      <c r="Z33" s="280" t="n">
        <f aca="false">IF(ISERROR(MATCH(A33,'liste reference'!$A$8:$A$904,0)),IF(ISERROR(MATCH(A33,'liste reference'!$B$8:$B$904,0)),"",(MATCH(A33,'liste reference'!$B$8:$B$904,0))),(MATCH(A33,'liste reference'!$A$8:$A$904,0)))</f>
        <v>514</v>
      </c>
      <c r="AA33" s="491" t="s">
        <v>2685</v>
      </c>
      <c r="AB33" s="492"/>
      <c r="AC33" s="492"/>
      <c r="BB33" s="280" t="n">
        <f aca="false">IF(A33="","",1)</f>
        <v>1</v>
      </c>
    </row>
    <row r="34" customFormat="false" ht="12.75" hidden="false" customHeight="false" outlineLevel="0" collapsed="false">
      <c r="A34" s="493" t="s">
        <v>2107</v>
      </c>
      <c r="B34" s="494"/>
      <c r="C34" s="495" t="n">
        <v>0.005</v>
      </c>
      <c r="D34" s="477" t="str">
        <f aca="false">IF(ISERROR(VLOOKUP($A34,'liste reference'!$A$7:$D$904,2,0)),IF(ISERROR(VLOOKUP($A34,'liste reference'!$B$7:$D$904,1,0)),"",VLOOKUP($A34,'liste reference'!$B$7:$D$904,1,0)),VLOOKUP($A34,'liste reference'!$A$7:$D$904,2,0))</f>
        <v>Typha sp.</v>
      </c>
      <c r="E34" s="496" t="e">
        <f aca="false">IF(D34="",0,VLOOKUP(D34,D$22:D33,1,0))</f>
        <v>#N/A</v>
      </c>
      <c r="F34" s="500" t="n">
        <f aca="false">($B34*$B$7+$C34*$C$7)/100</f>
        <v>0.00165</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Typha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1674</v>
      </c>
      <c r="Q34" s="486" t="n">
        <f aca="false">IF(ISTEXT(H34),"",(B34*$B$7/100)+(C34*$C$7/100))</f>
        <v>0.00165</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TYPSPX</v>
      </c>
      <c r="Z34" s="280" t="n">
        <f aca="false">IF(ISERROR(MATCH(A34,'liste reference'!$A$8:$A$904,0)),IF(ISERROR(MATCH(A34,'liste reference'!$B$8:$B$904,0)),"",(MATCH(A34,'liste reference'!$B$8:$B$904,0))),(MATCH(A34,'liste reference'!$A$8:$A$904,0)))</f>
        <v>681</v>
      </c>
      <c r="AA34" s="491"/>
      <c r="AB34" s="492"/>
      <c r="AC34" s="492"/>
      <c r="BB34" s="280" t="n">
        <f aca="false">IF(A34="","",1)</f>
        <v>1</v>
      </c>
    </row>
    <row r="35" customFormat="false" ht="12.75" hidden="false" customHeight="false" outlineLevel="0" collapsed="false">
      <c r="A35" s="493" t="s">
        <v>2204</v>
      </c>
      <c r="B35" s="494"/>
      <c r="C35" s="495" t="n">
        <v>0.005</v>
      </c>
      <c r="D35" s="477" t="str">
        <f aca="false">IF(ISERROR(VLOOKUP($A35,'liste reference'!$A$7:$D$904,2,0)),IF(ISERROR(VLOOKUP($A35,'liste reference'!$B$7:$D$904,1,0)),"",VLOOKUP($A35,'liste reference'!$B$7:$D$904,1,0)),VLOOKUP($A35,'liste reference'!$A$7:$D$904,2,0))</f>
        <v>Cyperus longus</v>
      </c>
      <c r="E35" s="496" t="e">
        <f aca="false">IF(D35="",0,VLOOKUP(D35,D$22:D34,1,0))</f>
        <v>#N/A</v>
      </c>
      <c r="F35" s="500" t="n">
        <f aca="false">($B35*$B$7+$C35*$C$7)/100</f>
        <v>0.00165</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Cyperus longus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1500</v>
      </c>
      <c r="Q35" s="486" t="n">
        <f aca="false">IF(ISTEXT(H35),"",(B35*$B$7/100)+(C35*$C$7/100))</f>
        <v>0.00165</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CYPLON</v>
      </c>
      <c r="Z35" s="280" t="n">
        <f aca="false">IF(ISERROR(MATCH(A35,'liste reference'!$A$8:$A$904,0)),IF(ISERROR(MATCH(A35,'liste reference'!$B$8:$B$904,0)),"",(MATCH(A35,'liste reference'!$B$8:$B$904,0))),(MATCH(A35,'liste reference'!$A$8:$A$904,0)))</f>
        <v>724</v>
      </c>
      <c r="AA35" s="491"/>
      <c r="AB35" s="492"/>
      <c r="AC35" s="492"/>
      <c r="BB35" s="280" t="n">
        <f aca="false">IF(A35="","",1)</f>
        <v>1</v>
      </c>
    </row>
    <row r="36" customFormat="false" ht="12.75" hidden="false" customHeight="false" outlineLevel="0" collapsed="false">
      <c r="A36" s="493" t="s">
        <v>2307</v>
      </c>
      <c r="B36" s="494" t="n">
        <v>0.005</v>
      </c>
      <c r="C36" s="495"/>
      <c r="D36" s="477" t="str">
        <f aca="false">IF(ISERROR(VLOOKUP($A36,'liste reference'!$A$7:$D$904,2,0)),IF(ISERROR(VLOOKUP($A36,'liste reference'!$B$7:$D$904,1,0)),"",VLOOKUP($A36,'liste reference'!$B$7:$D$904,1,0)),VLOOKUP($A36,'liste reference'!$A$7:$D$904,2,0))</f>
        <v>Juncus articulatus</v>
      </c>
      <c r="E36" s="496" t="e">
        <f aca="false">IF(D36="",0,VLOOKUP(D36,D$22:D35,1,0))</f>
        <v>#N/A</v>
      </c>
      <c r="F36" s="500" t="n">
        <f aca="false">($B36*$B$7+$C36*$C$7)/100</f>
        <v>0.00335</v>
      </c>
      <c r="G36" s="479" t="str">
        <f aca="false">IF(A36="","",IF(ISERROR(VLOOKUP($A36,'liste reference'!$A$7:$P$904,13,0)),IF(ISERROR(VLOOKUP($A36,'liste reference'!$B$7:$P$904,12,0)),"    -",VLOOKUP($A36,'liste reference'!$B$7:$P$904,12,0)),VLOOKUP($A36,'liste reference'!$A$7:$P$904,13,0)))</f>
        <v>PHg</v>
      </c>
      <c r="H36" s="480" t="n">
        <f aca="false">IF(A36="","x",IF(ISERROR(VLOOKUP($A36,'liste reference'!$A$8:$P$904,14,0)),IF(ISERROR(VLOOKUP($A36,'liste reference'!$B$8:$P$904,13,0)),"x",VLOOKUP($A36,'liste reference'!$B$8:$P$904,13,0)),VLOOKUP($A36,'liste reference'!$A$8:$P$904,14,0)))</f>
        <v>9</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Juncus articulatus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1609</v>
      </c>
      <c r="Q36" s="486" t="n">
        <f aca="false">IF(ISTEXT(H36),"",(B36*$B$7/100)+(C36*$C$7/100))</f>
        <v>0.00335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JUNART</v>
      </c>
      <c r="Z36" s="280" t="n">
        <f aca="false">IF(ISERROR(MATCH(A36,'liste reference'!$A$8:$A$904,0)),IF(ISERROR(MATCH(A36,'liste reference'!$B$8:$B$904,0)),"",(MATCH(A36,'liste reference'!$B$8:$B$904,0))),(MATCH(A36,'liste reference'!$A$8:$A$904,0)))</f>
        <v>768</v>
      </c>
      <c r="AA36" s="491"/>
      <c r="AB36" s="492"/>
      <c r="AC36" s="492"/>
      <c r="BB36" s="280" t="n">
        <f aca="false">IF(A36="","",1)</f>
        <v>1</v>
      </c>
    </row>
    <row r="37" customFormat="false" ht="12.75" hidden="false" customHeight="false" outlineLevel="0" collapsed="false">
      <c r="A37" s="493" t="s">
        <v>2686</v>
      </c>
      <c r="B37" s="494" t="n">
        <v>0.005</v>
      </c>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0.00335</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ramosissimum</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2687</v>
      </c>
      <c r="AC37" s="492"/>
      <c r="BB37" s="280" t="n">
        <f aca="false">IF(A37="","",1)</f>
        <v>1</v>
      </c>
    </row>
    <row r="38" customFormat="false" ht="12.75" hidden="false" customHeight="false" outlineLevel="0" collapsed="false">
      <c r="A38" s="493" t="s">
        <v>2686</v>
      </c>
      <c r="B38" s="494" t="n">
        <v>0.01</v>
      </c>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0.0067</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Paspalum sp.</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c r="AB38" s="492" t="s">
        <v>2688</v>
      </c>
      <c r="AC38" s="492"/>
      <c r="BB38" s="280" t="n">
        <f aca="false">IF(A38="","",1)</f>
        <v>1</v>
      </c>
    </row>
    <row r="39" customFormat="false" ht="12.75" hidden="false" customHeight="false" outlineLevel="0" collapsed="false">
      <c r="A39" s="493" t="s">
        <v>2686</v>
      </c>
      <c r="B39" s="494" t="n">
        <v>0.005</v>
      </c>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0.00335</v>
      </c>
      <c r="G39" s="479" t="str">
        <f aca="false">IF(A39="","",IF(ISERROR(VLOOKUP($A39,'liste reference'!$A$7:$P$904,13,0)),IF(ISERROR(VLOOKUP($A39,'liste reference'!$B$7:$P$904,12,0)),"    -",VLOOKUP($A39,'liste reference'!$B$7:$P$904,12,0)),VLOOKUP($A39,'liste reference'!$A$7:$P$904,13,0)))</f>
        <v>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Rorippa sylvestris</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No</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X39" s="489"/>
      <c r="Y39" s="490" t="str">
        <f aca="false">IF(A39="new.cod","NEWCOD",IF(AND((Z39=""),ISTEXT(A39)),A39,IF(Z39="","",INDEX('liste reference'!$A$8:$A$904,Z39))))</f>
        <v>NEWCOD</v>
      </c>
      <c r="Z39" s="280" t="str">
        <f aca="false">IF(ISERROR(MATCH(A39,'liste reference'!$A$8:$A$904,0)),IF(ISERROR(MATCH(A39,'liste reference'!$B$8:$B$904,0)),"",(MATCH(A39,'liste reference'!$B$8:$B$904,0))),(MATCH(A39,'liste reference'!$A$8:$A$904,0)))</f>
        <v/>
      </c>
      <c r="AA39" s="491"/>
      <c r="AB39" s="492" t="s">
        <v>2689</v>
      </c>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IF(D43="",0,VLOOKUP(D43,D$21:D42,1,0))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501"/>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2"/>
      <c r="M45" s="502"/>
      <c r="N45" s="502"/>
      <c r="O45" s="484"/>
      <c r="P45" s="503"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2"/>
      <c r="M46" s="502"/>
      <c r="N46" s="502"/>
      <c r="O46" s="484"/>
      <c r="P46" s="503"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X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IF(D52="",0,VLOOKUP(D52,D$19:D47,1,0))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4"/>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IF(D62="",0,VLOOKUP(D62,D$15:D61,1,0))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Tavignano</v>
      </c>
      <c r="B84" s="529" t="str">
        <f aca="false">C3</f>
        <v>Altiani</v>
      </c>
      <c r="C84" s="530" t="n">
        <f aca="false">A4</f>
        <v>41824</v>
      </c>
      <c r="D84" s="531" t="n">
        <f aca="false">IF(ISERROR(SUM($T$23:$T$82)/SUM($U$23:$U$82)),"",SUM($T$23:$T$82)/SUM($U$23:$U$82))</f>
        <v>11.5333333333333</v>
      </c>
      <c r="E84" s="532" t="n">
        <f aca="false">N13</f>
        <v>17</v>
      </c>
      <c r="F84" s="529" t="n">
        <f aca="false">N14</f>
        <v>14</v>
      </c>
      <c r="G84" s="529" t="n">
        <f aca="false">N15</f>
        <v>4</v>
      </c>
      <c r="H84" s="529" t="n">
        <f aca="false">N16</f>
        <v>4</v>
      </c>
      <c r="I84" s="529" t="n">
        <f aca="false">N17</f>
        <v>1</v>
      </c>
      <c r="J84" s="533" t="n">
        <f aca="false">N8</f>
        <v>7.07142857142857</v>
      </c>
      <c r="K84" s="531" t="n">
        <f aca="false">N9</f>
        <v>5.67531353085179</v>
      </c>
      <c r="L84" s="532" t="n">
        <f aca="false">N10</f>
        <v>0</v>
      </c>
      <c r="M84" s="532" t="n">
        <f aca="false">N11</f>
        <v>15</v>
      </c>
      <c r="N84" s="531" t="n">
        <f aca="false">O8</f>
        <v>1.07142857142857</v>
      </c>
      <c r="O84" s="531" t="n">
        <f aca="false">O9</f>
        <v>0.960973146219551</v>
      </c>
      <c r="P84" s="532" t="n">
        <f aca="false">O10</f>
        <v>0</v>
      </c>
      <c r="Q84" s="532" t="n">
        <f aca="false">O11</f>
        <v>3</v>
      </c>
      <c r="R84" s="532" t="n">
        <f aca="false">F21</f>
        <v>0.077114</v>
      </c>
      <c r="S84" s="532" t="n">
        <f aca="false">K11</f>
        <v>0</v>
      </c>
      <c r="T84" s="532" t="n">
        <f aca="false">K12</f>
        <v>6</v>
      </c>
      <c r="U84" s="532" t="n">
        <f aca="false">K13</f>
        <v>3</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15</v>
      </c>
      <c r="T87" s="280"/>
      <c r="U87" s="280"/>
      <c r="V87" s="280"/>
    </row>
    <row r="88" customFormat="false" ht="12.75" hidden="true" customHeight="false" outlineLevel="0" collapsed="false">
      <c r="P88" s="280"/>
      <c r="Q88" s="280" t="s">
        <v>2693</v>
      </c>
      <c r="R88" s="280"/>
      <c r="S88" s="488" t="n">
        <f aca="false">VLOOKUP((S87),($S$23:$U$82),2,0)</f>
        <v>30</v>
      </c>
      <c r="T88" s="280"/>
      <c r="U88" s="280"/>
      <c r="V88" s="280"/>
    </row>
    <row r="89" customFormat="false" ht="12.75" hidden="true" customHeight="false" outlineLevel="0" collapsed="false">
      <c r="Q89" s="280" t="s">
        <v>2694</v>
      </c>
      <c r="R89" s="280"/>
      <c r="S89" s="488" t="n">
        <f aca="false">VLOOKUP((S87),($S$23:$U$82),3,0)</f>
        <v>2</v>
      </c>
      <c r="T89" s="280"/>
    </row>
    <row r="90" customFormat="false" ht="12.75" hidden="false" customHeight="false" outlineLevel="0" collapsed="false">
      <c r="Q90" s="280" t="s">
        <v>2695</v>
      </c>
      <c r="R90" s="280"/>
      <c r="S90" s="538" t="n">
        <f aca="false">IF(ISERROR(SUM($T$23:$T$82)/SUM($U$23:$U$82)),"",(SUM($T$23:$T$82)-S88)/(SUM($U$23:$U$82)-S89))</f>
        <v>11</v>
      </c>
      <c r="T90" s="280"/>
    </row>
    <row r="91" customFormat="false" ht="12.75" hidden="false" customHeight="false" outlineLevel="0" collapsed="false">
      <c r="Q91" s="487" t="s">
        <v>2696</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4"/>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1"/>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4"/>
      <c r="P59" s="503"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2015-03-24T14:02:09Z</dcterms:modified>
  <cp:revision>0</cp:revision>
  <dc:subject/>
  <dc:title>Feuille d'aide au calcul de l'IBMR</dc:title>
</cp:coreProperties>
</file>