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Tavignano a Antisanti"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'Tavignano a Antisanti'!$A$1:$Q$82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'Tavignano a Antisanti'!$A$1:$C$1415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<sst xmlns="http://schemas.openxmlformats.org/spreadsheetml/2006/main" count="9996" uniqueCount="3494">
  <si>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</si>
  <si>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</si>
  <si>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</si>
  <si>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</si>
  <si>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</si>
  <si>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</si>
  <si>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</si>
  <si>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</si>
  <si>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</si>
  <si>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</si>
  <si>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</si>
  <si>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</si>
  <si>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</si>
  <si>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</si>
  <si>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</si>
  <si>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</si>
  <si>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</si>
  <si>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</si>
  <si>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</si>
  <si>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</si>
  <si>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</si>
  <si>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</si>
  <si>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</si>
  <si>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</si>
  <si>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</si>
  <si>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</si>
  <si>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</si>
  <si>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</si>
  <si>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</si>
  <si>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</si>
  <si>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</si>
  <si>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</si>
  <si>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</si>
  <si>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</si>
  <si>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</si>
  <si>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</si>
  <si>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</si>
  <si>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</si>
  <si>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</si>
  <si>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</si>
  <si>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</si>
  <si>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</si>
  <si>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</si>
  <si>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</si>
  <si>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</si>
  <si>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</si>
  <si>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</si>
  <si>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</si>
  <si>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</si>
  <si>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</si>
  <si>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</si>
  <si>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</si>
  <si>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</si>
  <si>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</si>
  <si>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</si>
  <si>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</si>
  <si>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</si>
  <si>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</si>
  <si>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</si>
  <si>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</si>
  <si>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</si>
  <si>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</si>
  <si>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</si>
  <si>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</si>
  <si>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</si>
  <si>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</si>
  <si>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</si>
  <si>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</si>
  <si>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</si>
  <si>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</si>
  <si>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</si>
  <si>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</si>
  <si>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</si>
  <si>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</si>
  <si>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</si>
  <si>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</si>
  <si>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</si>
  <si>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</si>
  <si>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</si>
  <si>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</si>
  <si>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</si>
  <si>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</si>
  <si>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</si>
  <si>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</si>
  <si>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</si>
  <si>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</si>
  <si>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</si>
  <si>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</si>
  <si>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</si>
  <si>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</si>
  <si>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</si>
  <si>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</si>
  <si>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</si>
  <si>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</si>
  <si>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</si>
  <si>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</si>
  <si>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</si>
  <si>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</si>
  <si>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</si>
  <si>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</si>
  <si>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</si>
  <si>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</si>
  <si>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</si>
  <si>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</si>
  <si>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</si>
  <si>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</si>
  <si>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</si>
  <si>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</si>
  <si>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</si>
  <si>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</si>
  <si>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</si>
  <si>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</si>
  <si>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</si>
  <si>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</si>
  <si>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</si>
  <si>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</si>
  <si>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</si>
  <si>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</si>
  <si>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</si>
  <si>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</si>
  <si>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</si>
  <si>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</si>
  <si>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</si>
  <si>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</si>
  <si>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</si>
  <si>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</si>
  <si>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</si>
  <si>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</si>
  <si>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</si>
  <si>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</si>
  <si>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</si>
  <si>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</si>
  <si>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</si>
  <si>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</si>
  <si>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</si>
  <si>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</si>
  <si>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</si>
  <si>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</si>
  <si>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</si>
  <si>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</si>
  <si>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</si>
  <si>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</si>
  <si>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</si>
  <si>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</si>
  <si>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</si>
  <si>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</si>
  <si>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</si>
  <si>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</si>
  <si>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</si>
  <si>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</si>
  <si>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</si>
  <si>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</si>
  <si>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</si>
  <si>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</si>
  <si>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</si>
  <si>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</si>
  <si>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</si>
  <si>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</si>
  <si>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</si>
  <si>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</si>
  <si>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</si>
  <si>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</si>
  <si>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</si>
  <si>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</si>
  <si>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</si>
  <si>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</si>
  <si>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</si>
  <si>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</si>
  <si>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</si>
  <si>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</si>
  <si>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</si>
  <si>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</si>
  <si>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</si>
  <si>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</si>
  <si>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</si>
  <si>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</si>
  <si>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</si>
  <si>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</si>
  <si>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</si>
  <si>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</si>
  <si>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</si>
  <si>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</si>
  <si>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</si>
  <si>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</si>
  <si>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</si>
  <si>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</si>
  <si>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</si>
  <si>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</si>
  <si>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</si>
  <si>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</si>
  <si>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</si>
  <si>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</si>
  <si>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</si>
  <si>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</si>
  <si>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</si>
  <si>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</si>
  <si>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</si>
  <si>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</si>
  <si>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</si>
  <si>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</si>
  <si>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</si>
  <si>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</si>
  <si>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</si>
  <si>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</si>
  <si>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</si>
  <si>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</si>
  <si>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</si>
  <si>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</si>
  <si>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</si>
  <si>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</si>
  <si>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</si>
  <si>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</si>
  <si>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</si>
  <si>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</si>
  <si>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</si>
  <si>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</si>
  <si>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</si>
  <si>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</si>
  <si>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</si>
  <si>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</si>
  <si>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</si>
  <si>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</si>
  <si>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</si>
  <si>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</si>
  <si>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</si>
  <si>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</si>
  <si>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</si>
  <si>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</si>
  <si>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</si>
  <si>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</si>
  <si>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</si>
  <si>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</si>
  <si>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</si>
  <si>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</si>
  <si>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</si>
  <si>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</si>
  <si>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</si>
  <si>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</si>
  <si>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</si>
  <si>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</si>
  <si>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</si>
  <si>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</si>
  <si>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</si>
  <si>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</si>
  <si>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</si>
  <si>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</si>
  <si>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</si>
  <si>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</si>
  <si>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</si>
  <si>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</si>
  <si>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</si>
  <si>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</si>
  <si>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</si>
  <si>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</si>
  <si>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</si>
  <si>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</si>
  <si>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</si>
  <si>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</si>
  <si>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</si>
  <si>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</si>
  <si>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</si>
  <si>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</si>
  <si>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</si>
  <si>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</si>
  <si>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</si>
  <si>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</si>
  <si>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</si>
  <si>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</si>
  <si>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</si>
  <si>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</si>
  <si>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</si>
  <si>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</si>
  <si>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</si>
  <si>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</si>
  <si>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</si>
  <si>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</si>
  <si>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</si>
  <si>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</si>
  <si>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</si>
  <si>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</si>
  <si>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</si>
  <si>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</si>
  <si>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</si>
  <si>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</si>
  <si>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</si>
  <si>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</si>
  <si>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</si>
  <si>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</si>
  <si>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</si>
  <si>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</si>
  <si>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</si>
  <si>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</si>
  <si>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</si>
  <si>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</si>
  <si>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</si>
  <si>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</si>
  <si>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</si>
  <si>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</si>
  <si>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</si>
  <si>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</si>
  <si>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</si>
  <si>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</si>
  <si>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</si>
  <si>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</si>
  <si>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</si>
  <si>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</si>
  <si>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</si>
  <si>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</si>
  <si>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</si>
  <si>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</si>
  <si>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</si>
  <si>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</si>
  <si>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</si>
  <si>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</si>
  <si>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</si>
  <si>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</si>
  <si>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</si>
  <si>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</si>
  <si>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</si>
  <si>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</si>
  <si>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</si>
  <si>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</si>
  <si>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</si>
  <si>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</si>
  <si>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</si>
  <si>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</si>
  <si>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</si>
  <si>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</si>
  <si>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</si>
  <si>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</si>
  <si>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</si>
  <si>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</si>
  <si>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</si>
  <si>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</si>
  <si>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</si>
  <si>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</si>
  <si>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</si>
  <si>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</si>
  <si>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</si>
  <si>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</si>
  <si>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</si>
  <si>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</si>
  <si>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</si>
  <si>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</si>
  <si>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</si>
  <si>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</si>
  <si>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</si>
  <si>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</si>
  <si>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</si>
  <si>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</si>
  <si>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</si>
  <si>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</si>
  <si>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</si>
  <si>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</si>
  <si>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</si>
  <si>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</si>
  <si>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</si>
  <si>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</si>
  <si>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</si>
  <si>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</si>
  <si>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</si>
  <si>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</si>
  <si>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</si>
  <si>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</si>
  <si>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</si>
  <si>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</si>
  <si>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</si>
  <si>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</si>
  <si>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</si>
  <si>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</si>
  <si>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</si>
  <si>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</si>
  <si>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</si>
  <si>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</si>
  <si>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</si>
  <si>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</si>
  <si>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</si>
  <si>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</si>
  <si>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</si>
  <si>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</si>
  <si>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</si>
  <si>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</si>
  <si>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</si>
  <si>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</si>
  <si>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</si>
  <si>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</si>
  <si>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</si>
  <si>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</si>
  <si>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</si>
  <si>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</si>
  <si>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</si>
  <si>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</si>
  <si>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</si>
  <si>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</si>
  <si>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</si>
  <si>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</si>
  <si>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</si>
  <si>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</si>
  <si>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</si>
  <si>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</si>
  <si>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</si>
  <si>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</si>
  <si>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</si>
  <si>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</si>
  <si>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</si>
  <si>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</si>
  <si>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</si>
  <si>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</si>
  <si>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</si>
  <si>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</si>
  <si>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</si>
  <si>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</si>
  <si>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</si>
  <si>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</si>
  <si>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</si>
  <si>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</si>
  <si>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</si>
  <si>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</si>
  <si>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</si>
  <si>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</si>
  <si>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</si>
  <si>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</si>
  <si>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</si>
  <si>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</si>
  <si>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</si>
  <si>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</si>
  <si>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</si>
  <si>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</si>
  <si>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</si>
  <si>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</si>
  <si>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</si>
  <si>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</si>
  <si>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</si>
  <si>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</si>
  <si>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</si>
  <si>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</si>
  <si>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</si>
  <si>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</si>
  <si>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</si>
  <si>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</si>
  <si>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</si>
  <si>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</si>
  <si>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</si>
  <si>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</si>
  <si>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</si>
  <si>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</si>
  <si>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</si>
  <si>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</si>
  <si>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</si>
  <si>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</si>
  <si>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</si>
  <si>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</si>
  <si>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</si>
  <si>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</si>
  <si>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</si>
  <si>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</si>
  <si>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</si>
  <si>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</si>
  <si>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</si>
  <si>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</si>
  <si>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</si>
  <si>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</si>
  <si>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</si>
  <si>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</si>
  <si>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</si>
  <si>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</si>
  <si>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</si>
  <si>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</si>
  <si>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</si>
  <si>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</si>
  <si>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</si>
  <si>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</si>
  <si>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</si>
  <si>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</si>
  <si>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</si>
  <si>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</si>
  <si>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</si>
  <si>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</si>
  <si>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</si>
  <si>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</si>
  <si>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</si>
  <si>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</si>
  <si>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</si>
  <si>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</si>
  <si>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</si>
  <si>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</si>
  <si>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</si>
  <si>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</si>
  <si>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</si>
  <si>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</si>
  <si>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</si>
  <si>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</si>
  <si>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</si>
  <si>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</si>
  <si>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</si>
  <si>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</si>
  <si>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</si>
  <si>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</si>
  <si>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</si>
  <si>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</si>
  <si>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</si>
  <si>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</si>
  <si>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</si>
  <si>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</si>
  <si>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</si>
  <si>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</si>
  <si>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</si>
  <si>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</si>
  <si>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</si>
  <si>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</si>
  <si>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</si>
  <si>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</si>
  <si>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</si>
  <si>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</si>
  <si>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</si>
  <si>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</si>
  <si>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</si>
  <si>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</si>
  <si>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</si>
  <si>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</si>
  <si>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</si>
  <si>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</si>
  <si>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</si>
  <si>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</si>
  <si>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</si>
  <si>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</si>
  <si>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</si>
  <si>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</si>
  <si>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</si>
  <si>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</si>
  <si>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</si>
  <si>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</si>
  <si>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</si>
  <si>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</si>
  <si>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</si>
  <si>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</si>
  <si>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</si>
  <si>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</si>
  <si>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</si>
  <si>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</si>
  <si>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</si>
  <si>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</si>
  <si>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</si>
  <si>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</si>
  <si>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</si>
  <si>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</si>
  <si>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</si>
  <si>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</si>
  <si>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</si>
  <si>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</si>
  <si>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</si>
  <si>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</si>
  <si>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</si>
  <si>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</si>
  <si>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</si>
  <si>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</si>
  <si>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</si>
  <si>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</si>
  <si>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</si>
  <si>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</si>
  <si>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</si>
  <si>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</si>
  <si>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</si>
  <si>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</si>
  <si>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</si>
  <si>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</si>
  <si>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</si>
  <si>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</si>
  <si>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</si>
  <si>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</si>
  <si>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</si>
  <si>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</si>
  <si>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</si>
  <si>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</si>
  <si>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</si>
  <si>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</si>
  <si>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</si>
  <si>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</si>
  <si>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</si>
  <si>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</si>
  <si>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</si>
  <si>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</si>
  <si>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</si>
  <si>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</si>
  <si>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</si>
  <si>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</si>
  <si>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</si>
  <si>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</si>
  <si>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</si>
  <si>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</si>
  <si>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</si>
  <si>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</si>
  <si>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</si>
  <si>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</si>
  <si>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</si>
  <si>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</si>
  <si>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</si>
  <si>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</si>
  <si>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</si>
  <si>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</si>
  <si>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</si>
  <si>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</si>
  <si>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</si>
  <si>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</si>
  <si>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</si>
  <si>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</si>
  <si>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</si>
  <si>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</si>
  <si>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</si>
  <si>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</si>
  <si>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</si>
  <si>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</si>
  <si>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</si>
  <si>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</si>
  <si>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</si>
  <si>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</si>
  <si>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</si>
  <si>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</si>
  <si>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</si>
  <si>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</si>
  <si>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</si>
  <si>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</si>
  <si>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</si>
  <si>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</si>
  <si>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</si>
  <si>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</si>
  <si>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</si>
  <si>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</si>
  <si>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</si>
  <si>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</si>
  <si>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</si>
  <si>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</si>
  <si>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</si>
  <si>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</si>
  <si>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</si>
  <si>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</si>
  <si>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</si>
  <si>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</si>
  <si>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</si>
  <si>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</si>
  <si>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</si>
  <si>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</si>
  <si>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</si>
  <si>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</si>
  <si>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</si>
  <si>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</si>
  <si>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</si>
  <si>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</si>
  <si>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</si>
  <si>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</si>
  <si>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</si>
  <si>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</si>
  <si>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</si>
  <si>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</si>
  <si>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</si>
  <si>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</si>
  <si>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</si>
  <si>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</si>
  <si>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</si>
  <si>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</si>
  <si>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</si>
  <si>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</si>
  <si>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</si>
  <si>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</si>
  <si>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</si>
  <si>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</si>
  <si>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</si>
  <si>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</si>
  <si>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</si>
  <si>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</si>
  <si>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</si>
  <si>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</si>
  <si>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</si>
  <si>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</si>
  <si>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</si>
  <si>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</si>
  <si>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</si>
  <si>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</si>
  <si>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</si>
  <si>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</si>
  <si>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</si>
  <si>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</si>
  <si>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</si>
  <si>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</si>
  <si>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</si>
  <si>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</si>
  <si>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</si>
  <si>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</si>
  <si>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</si>
  <si>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</si>
  <si>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</si>
  <si>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</si>
  <si>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</si>
  <si>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</si>
  <si>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</si>
  <si>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</si>
  <si>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</si>
  <si>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</si>
  <si>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</si>
  <si>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</si>
  <si>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</si>
  <si>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</si>
  <si>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</si>
  <si>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</si>
  <si>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</si>
  <si>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</si>
  <si>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</si>
  <si>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</si>
  <si>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</si>
  <si>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</si>
  <si>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</si>
  <si>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</si>
  <si>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</si>
  <si>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</si>
  <si>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</si>
  <si>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</si>
  <si>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</si>
  <si>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</si>
  <si>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</si>
  <si>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</si>
  <si>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</si>
  <si>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</si>
  <si>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</si>
  <si>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</si>
  <si>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</si>
  <si>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</si>
  <si>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</si>
  <si>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</si>
  <si>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</si>
  <si>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</si>
  <si>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</si>
  <si>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</si>
  <si>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</si>
  <si>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</si>
  <si>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</si>
  <si>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</si>
  <si>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</si>
  <si>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</si>
  <si>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</si>
  <si>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</si>
  <si>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</si>
  <si>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</si>
  <si>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</si>
  <si>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</si>
  <si>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</si>
  <si>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</si>
  <si>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</si>
  <si>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</si>
  <si>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</si>
  <si>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</si>
  <si>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</si>
  <si>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</si>
  <si>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</si>
  <si>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</si>
  <si>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</si>
  <si>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</si>
  <si>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</si>
  <si>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</si>
  <si>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</si>
  <si>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</si>
  <si>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</si>
  <si>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</si>
  <si>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</si>
  <si>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</si>
  <si>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</si>
  <si>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</si>
  <si>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</si>
  <si>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</si>
  <si>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</si>
  <si>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</si>
  <si>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</si>
  <si>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</si>
  <si>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</si>
  <si>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</si>
  <si>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</si>
  <si>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</si>
  <si>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</si>
  <si>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</si>
  <si>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</si>
  <si>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</si>
  <si>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</si>
  <si>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</si>
  <si>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</si>
  <si>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</si>
  <si>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</si>
  <si>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</si>
  <si>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</si>
  <si>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</si>
  <si>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</si>
  <si>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</si>
  <si>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</si>
  <si>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</si>
  <si>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</si>
  <si>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</si>
  <si>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</si>
  <si>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</si>
  <si>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</si>
  <si>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</si>
  <si>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</si>
  <si>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</si>
  <si>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</si>
  <si>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</si>
  <si>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</si>
  <si>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</si>
  <si>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</si>
  <si>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</si>
  <si>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</si>
  <si>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</si>
  <si>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</si>
  <si>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</si>
  <si>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</si>
  <si>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</si>
  <si>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</si>
  <si>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</si>
  <si>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</si>
  <si>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</si>
  <si>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</si>
  <si>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</si>
  <si>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</si>
  <si>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</si>
  <si>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</si>
  <si>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</si>
  <si>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</si>
  <si>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</si>
  <si>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</si>
  <si>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</si>
  <si>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</si>
  <si>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</si>
  <si>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</si>
  <si>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</si>
  <si>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</si>
  <si>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</si>
  <si>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</si>
  <si>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</si>
  <si>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</si>
  <si>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</si>
  <si>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</si>
  <si>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</si>
  <si>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</si>
  <si>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</si>
  <si>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</si>
  <si>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</si>
  <si>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</si>
  <si>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</si>
  <si>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</si>
  <si>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</si>
  <si>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</si>
  <si>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</si>
  <si>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</si>
  <si>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</si>
  <si>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</si>
  <si>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</si>
  <si>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</si>
  <si>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</si>
  <si>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</si>
  <si>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</si>
  <si>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</si>
  <si>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</si>
  <si>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</si>
  <si>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</si>
  <si>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</si>
  <si>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</si>
  <si>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</si>
  <si>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</si>
  <si>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</si>
  <si>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</si>
  <si>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</si>
  <si>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</si>
  <si>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</si>
  <si>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</si>
  <si>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</si>
  <si>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</si>
  <si>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</si>
  <si>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</si>
  <si>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</si>
  <si>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</si>
  <si>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</si>
  <si>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</si>
  <si>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</si>
  <si>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</si>
  <si>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</si>
  <si>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</si>
  <si>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</si>
  <si>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</si>
  <si>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</si>
  <si>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</si>
  <si>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</si>
  <si>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</si>
  <si>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</si>
  <si>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</si>
  <si>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</si>
  <si>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</si>
  <si>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</si>
  <si>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</si>
  <si>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</si>
  <si>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</si>
  <si>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</si>
  <si>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</si>
  <si>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</si>
  <si>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</si>
  <si>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</si>
  <si>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</si>
  <si>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</si>
  <si>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</si>
  <si>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</si>
  <si>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</si>
  <si>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</si>
  <si>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</si>
  <si>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</si>
  <si>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</si>
  <si>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</si>
  <si>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</si>
  <si>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</si>
  <si>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</si>
  <si>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</si>
  <si>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</si>
  <si>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</si>
  <si>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</si>
  <si>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</si>
  <si>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</si>
  <si>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</si>
  <si>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</si>
  <si>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</si>
  <si>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</si>
  <si>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</si>
  <si>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</si>
  <si>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</si>
  <si>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</si>
  <si>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</si>
  <si>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</si>
  <si>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</si>
  <si>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</si>
  <si>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</si>
  <si>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</si>
  <si>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</si>
  <si>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</si>
  <si>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</si>
  <si>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</si>
  <si>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</si>
  <si>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</si>
  <si>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</si>
  <si>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</si>
  <si>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</si>
  <si>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</si>
  <si>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</si>
  <si>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</si>
  <si>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</si>
  <si>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</si>
  <si>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</si>
  <si>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</si>
  <si>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</si>
  <si>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</si>
  <si>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</si>
  <si>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</si>
  <si>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</si>
  <si>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</si>
  <si>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</si>
  <si>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</si>
  <si>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</si>
  <si>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</si>
  <si>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</si>
  <si>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</si>
  <si>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</si>
  <si>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</si>
  <si>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</si>
  <si>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</si>
  <si>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</si>
  <si>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</si>
  <si>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</si>
  <si>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</si>
  <si>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</si>
  <si>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</si>
  <si>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</si>
  <si>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</si>
  <si>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</si>
  <si>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</si>
  <si>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</si>
  <si>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</si>
  <si>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</si>
  <si>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</si>
  <si>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</si>
  <si>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</si>
  <si>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</si>
  <si>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</si>
  <si>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</si>
  <si>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</si>
  <si>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</si>
  <si>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</si>
  <si>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</si>
  <si>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</si>
  <si>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</si>
  <si>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</si>
  <si>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</si>
  <si>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</si>
  <si>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</si>
  <si>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</si>
  <si>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</si>
  <si>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</si>
  <si>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</si>
  <si>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</si>
  <si>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</si>
  <si>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</si>
  <si>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</si>
  <si>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</si>
  <si>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</si>
  <si>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</si>
  <si>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</si>
  <si>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</si>
  <si>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</si>
  <si>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</si>
  <si>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</si>
  <si>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</si>
  <si>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</si>
  <si>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</si>
  <si>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</si>
  <si>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</si>
  <si>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</si>
  <si>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</si>
  <si>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</si>
  <si>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</si>
  <si>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</si>
  <si>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</si>
  <si>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</si>
  <si>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</si>
  <si>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</si>
  <si>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</si>
  <si>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</si>
  <si>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</si>
  <si>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</si>
  <si>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</si>
  <si>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</si>
  <si>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</si>
  <si>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</si>
  <si>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</si>
  <si>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</si>
  <si>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</si>
  <si>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</si>
  <si>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</si>
  <si>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</si>
  <si>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</si>
  <si>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</si>
  <si>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</si>
  <si>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</si>
  <si>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</si>
  <si>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</si>
  <si>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</si>
  <si>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</si>
  <si>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</si>
  <si>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</si>
  <si>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</si>
  <si>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</si>
  <si>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</si>
  <si>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</si>
  <si>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</si>
  <si>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</si>
  <si>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</si>
  <si>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</si>
  <si>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</si>
  <si>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</si>
  <si>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</si>
  <si>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</si>
  <si>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</si>
  <si>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</si>
  <si>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</si>
  <si>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</si>
  <si>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</si>
  <si>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</si>
  <si>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</si>
  <si>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</si>
  <si>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</si>
  <si>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</si>
  <si>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</si>
  <si>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</si>
  <si>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</si>
  <si>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</si>
  <si>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</si>
  <si>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</si>
  <si>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</si>
  <si>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</si>
  <si>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</si>
  <si>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</si>
  <si>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</si>
  <si>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</si>
  <si>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</si>
  <si>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</si>
  <si>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</si>
  <si>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</si>
  <si>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</si>
  <si>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</si>
  <si>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</si>
  <si>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</si>
  <si>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</si>
  <si>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</si>
  <si>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</si>
  <si>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</si>
  <si>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</si>
  <si>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</si>
  <si>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</si>
  <si>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</si>
  <si>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</si>
  <si>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</si>
  <si>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</si>
  <si>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</si>
  <si>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</si>
  <si>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</si>
  <si>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</si>
  <si>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</si>
  <si>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</si>
  <si>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</si>
  <si>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</si>
  <si>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</si>
  <si>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</si>
  <si>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</si>
  <si>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</si>
  <si>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</si>
  <si>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</si>
  <si>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</si>
  <si>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</si>
  <si>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</si>
  <si>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</si>
  <si>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</si>
  <si>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</si>
  <si>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</si>
  <si>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</si>
  <si>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</si>
  <si>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</si>
  <si>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</si>
  <si>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</si>
  <si>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</si>
  <si>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</si>
  <si>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</si>
  <si>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</si>
  <si>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</si>
  <si>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</si>
  <si>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</si>
  <si>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</si>
  <si>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</si>
  <si>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</si>
  <si>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</si>
  <si>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</si>
  <si>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</si>
  <si>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</si>
  <si>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</si>
  <si>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</si>
  <si>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</si>
  <si>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</si>
  <si>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</si>
  <si>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</si>
  <si>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</si>
  <si>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</si>
  <si>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</si>
  <si>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</si>
  <si>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</si>
  <si>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</si>
  <si>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</si>
  <si>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</si>
  <si>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</si>
  <si>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</si>
  <si>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</si>
  <si>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</si>
  <si>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</si>
  <si>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</si>
  <si>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</si>
  <si>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</si>
  <si>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</si>
  <si>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</si>
  <si>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</si>
  <si>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</si>
  <si>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</si>
  <si>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</si>
  <si>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</si>
  <si>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</si>
  <si>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</si>
  <si>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</si>
  <si>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</si>
  <si>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</si>
  <si>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</si>
  <si>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</si>
  <si>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</si>
  <si>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</si>
  <si>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</si>
  <si>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</si>
  <si>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</si>
  <si>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</si>
  <si>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</si>
  <si>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</si>
  <si>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</si>
  <si>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</si>
  <si>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</si>
  <si>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</si>
  <si>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</si>
  <si>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</si>
  <si>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</si>
  <si>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</si>
  <si>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</si>
  <si>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</si>
  <si>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</si>
  <si>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</si>
  <si>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</si>
  <si>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</si>
  <si>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</si>
  <si>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</si>
  <si>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</si>
  <si>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</si>
  <si>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</si>
  <si>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</si>
  <si>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</si>
  <si>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</si>
  <si>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</si>
  <si>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</si>
  <si>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</si>
  <si>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</si>
  <si>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</si>
  <si>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</si>
  <si>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</si>
  <si>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</si>
  <si>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</si>
  <si>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</si>
  <si>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</si>
  <si>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</si>
  <si>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</si>
  <si>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</si>
  <si>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</si>
  <si>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</si>
  <si>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</si>
  <si>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</si>
  <si>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</si>
  <si>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</si>
  <si>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</si>
  <si>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</si>
  <si>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</si>
  <si>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</si>
  <si>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</si>
  <si>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</si>
  <si>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</si>
  <si>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</si>
  <si>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</si>
  <si>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</si>
  <si>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</si>
  <si>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</si>
  <si>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</si>
  <si>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</si>
  <si>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</si>
  <si>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</si>
  <si>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</si>
  <si>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</si>
  <si>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</si>
  <si>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</si>
  <si>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</si>
  <si>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</si>
  <si>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</si>
  <si>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</si>
  <si>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</si>
  <si>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</si>
  <si>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</si>
  <si>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</si>
  <si>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</si>
  <si>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</si>
  <si>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</si>
  <si>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</si>
  <si>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</si>
  <si>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</si>
  <si>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</si>
  <si>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</si>
  <si>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</si>
  <si>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</si>
  <si>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</si>
  <si>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</si>
  <si>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</si>
  <si>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</si>
  <si>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</si>
  <si>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</si>
  <si>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</si>
  <si>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</si>
  <si>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</si>
  <si>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</si>
  <si>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</si>
  <si>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</si>
  <si>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</si>
  <si>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</si>
  <si>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</si>
  <si>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</si>
  <si>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</si>
  <si>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</si>
  <si>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</si>
  <si>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</si>
  <si>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</si>
  <si>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</si>
  <si>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</si>
  <si>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</si>
  <si>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</si>
  <si>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</si>
  <si>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</si>
  <si>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</si>
  <si>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</si>
  <si>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</si>
  <si>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</si>
  <si>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</si>
  <si>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</si>
  <si>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</si>
  <si>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</si>
  <si>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</si>
  <si>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</si>
  <si>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</si>
  <si>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</si>
  <si>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</si>
  <si>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</si>
  <si>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</si>
  <si>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</si>
  <si>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</si>
  <si>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</si>
  <si>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</si>
  <si>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</si>
  <si>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</si>
  <si>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</si>
  <si>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</si>
  <si>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</si>
  <si>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</si>
  <si>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</si>
  <si>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</si>
  <si>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</si>
  <si>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</si>
  <si>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</si>
  <si>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</si>
  <si>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</si>
  <si>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</si>
  <si>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</si>
  <si>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</si>
  <si>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</si>
  <si>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</si>
  <si>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</si>
  <si>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</si>
  <si>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</si>
  <si>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</si>
  <si>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</si>
  <si>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</si>
  <si>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</si>
  <si>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</si>
  <si>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</si>
  <si>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</si>
  <si>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</si>
  <si>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</si>
  <si>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</si>
  <si>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</si>
  <si>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</si>
  <si>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</si>
  <si>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</si>
  <si>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</si>
  <si>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</si>
  <si>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</si>
  <si>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</si>
  <si>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</si>
  <si>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</si>
  <si>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</si>
  <si>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</si>
  <si>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</si>
  <si>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</si>
  <si>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</si>
  <si>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</si>
  <si>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</si>
  <si>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</si>
  <si>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</si>
  <si>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</si>
  <si>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</si>
  <si>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</si>
  <si>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</si>
  <si>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</si>
  <si>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</si>
  <si>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</si>
  <si>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</si>
  <si>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</si>
  <si>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</si>
  <si>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</si>
  <si>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</si>
  <si>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</si>
  <si>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</si>
  <si>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</si>
  <si>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</si>
  <si>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</si>
  <si>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</si>
  <si>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</si>
  <si>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</si>
  <si>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</si>
  <si>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</si>
  <si>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</si>
  <si>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</si>
  <si>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</si>
  <si>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</si>
  <si>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</si>
  <si>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</si>
  <si>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</si>
  <si>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</si>
  <si>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</si>
  <si>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</si>
  <si>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</si>
  <si>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</si>
  <si>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</si>
  <si>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</si>
  <si>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</si>
  <si>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</si>
  <si>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</si>
  <si>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</si>
  <si>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</si>
  <si>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</si>
  <si>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</si>
  <si>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</si>
  <si>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</si>
  <si>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</si>
  <si>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</si>
  <si>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</si>
  <si>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</si>
  <si>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</si>
  <si>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</si>
  <si>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</si>
  <si>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</si>
  <si>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</si>
  <si>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</si>
  <si>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</si>
  <si>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</si>
  <si>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</si>
  <si>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</si>
  <si>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</si>
  <si>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</si>
  <si>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</si>
  <si>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</si>
  <si>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</si>
  <si>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</si>
  <si>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</si>
  <si>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</si>
  <si>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</si>
  <si>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</si>
  <si>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</si>
  <si>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</si>
  <si>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</si>
  <si>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</si>
  <si>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</si>
  <si>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</si>
  <si>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</si>
  <si>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</si>
  <si>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</si>
  <si>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</si>
  <si>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</si>
  <si>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</si>
  <si>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</si>
  <si>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</si>
  <si>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</si>
  <si>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</si>
  <si>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</si>
  <si>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</si>
  <si>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</si>
  <si>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</si>
  <si>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</si>
  <si>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</si>
  <si>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</si>
  <si>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</si>
  <si>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</si>
  <si>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</si>
  <si>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</si>
  <si>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</si>
  <si>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</si>
  <si>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</si>
  <si>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</si>
  <si>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</si>
  <si>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</si>
  <si>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</si>
  <si>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</si>
  <si>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</si>
  <si>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</si>
  <si>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</si>
  <si>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</si>
  <si>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</si>
  <si>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</si>
  <si>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</si>
  <si>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</si>
  <si>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</si>
  <si>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</si>
  <si>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</si>
  <si>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</si>
  <si>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</si>
  <si>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</si>
  <si>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</si>
  <si>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</si>
  <si>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</si>
  <si>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</si>
  <si>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</si>
  <si>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</si>
  <si>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</si>
  <si>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</si>
  <si>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</si>
  <si>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</si>
  <si>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</si>
  <si>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</si>
  <si>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</si>
  <si>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</si>
  <si>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</si>
  <si>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</si>
  <si>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</si>
  <si>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</si>
  <si>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</si>
  <si>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</si>
  <si>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</si>
  <si>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</si>
  <si>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</si>
  <si>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</si>
  <si>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</si>
  <si>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</si>
  <si>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</si>
  <si>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</si>
  <si>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</si>
  <si>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</si>
  <si>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</si>
  <si>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</si>
  <si>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</si>
  <si>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</si>
  <si>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</si>
  <si>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</si>
  <si>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</si>
  <si>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</si>
  <si>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</si>
  <si>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</si>
  <si>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</si>
  <si>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</si>
  <si>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</si>
  <si>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</si>
  <si>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</si>
  <si>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</si>
  <si>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</si>
  <si>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</si>
  <si>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</si>
  <si>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</si>
  <si>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</si>
  <si>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</si>
  <si>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</si>
  <si>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</si>
  <si>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</si>
  <si>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</si>
  <si>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</si>
  <si>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</si>
  <si>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</si>
  <si>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</si>
  <si>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</si>
  <si>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</si>
  <si>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</si>
  <si>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</si>
  <si>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</si>
  <si>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</si>
  <si>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</si>
  <si>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</si>
  <si>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</si>
  <si>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</si>
  <si>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</si>
  <si>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</si>
  <si>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</si>
  <si>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</si>
  <si>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</si>
  <si>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</si>
  <si>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</si>
  <si>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</si>
  <si>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</si>
  <si>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</si>
  <si>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</si>
  <si>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</si>
  <si>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</si>
  <si>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</si>
  <si>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</si>
  <si>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</si>
  <si>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</si>
  <si>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</si>
  <si>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</si>
  <si>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</si>
  <si>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</si>
  <si>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</si>
  <si>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</si>
  <si>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</si>
  <si>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</si>
  <si>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</si>
  <si>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</si>
  <si>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</si>
  <si>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</si>
  <si>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</si>
  <si>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</si>
  <si>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</si>
  <si>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</si>
  <si>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</si>
  <si>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</si>
  <si>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</si>
  <si>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</si>
  <si>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</si>
  <si>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</si>
  <si>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</si>
  <si>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</si>
  <si>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</si>
  <si>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</si>
  <si>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</si>
  <si>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</si>
  <si>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</si>
  <si>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</si>
  <si>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</si>
  <si>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</si>
  <si>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</si>
  <si>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</si>
  <si>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</si>
  <si>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</si>
  <si>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</si>
  <si>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</si>
  <si>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</si>
  <si>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</si>
  <si>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</si>
  <si>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</si>
  <si>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</si>
  <si>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</si>
  <si>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</si>
  <si>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</si>
  <si>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</si>
  <si>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</si>
  <si>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</si>
  <si>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</si>
  <si>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</si>
  <si>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</si>
  <si>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</si>
  <si>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</si>
  <si>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</si>
  <si>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</si>
  <si>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</si>
  <si>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</si>
  <si>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</si>
  <si>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</si>
  <si>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</si>
  <si>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</si>
  <si>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</si>
  <si>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</si>
  <si>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</si>
  <si>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</si>
  <si>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</si>
  <si>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</si>
  <si>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</si>
  <si>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</si>
  <si>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</si>
  <si>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</si>
  <si>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</si>
  <si>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</si>
  <si>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</si>
  <si>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</si>
  <si>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</si>
  <si>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</si>
  <si>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</si>
  <si>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</si>
  <si>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</si>
  <si>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</si>
  <si>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</si>
  <si>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</si>
  <si>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</si>
  <si>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</si>
  <si>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</si>
  <si>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</si>
  <si>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</si>
  <si>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</si>
  <si>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</si>
  <si>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</si>
  <si>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</si>
  <si>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</si>
  <si>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</si>
  <si>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</si>
  <si>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</si>
  <si>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</si>
  <si>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</si>
  <si>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</si>
  <si>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</si>
  <si>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</si>
  <si>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</si>
  <si>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</si>
  <si>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</si>
  <si>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</si>
  <si>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</si>
  <si>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</si>
  <si>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</si>
  <si>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</si>
  <si>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</si>
  <si>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</si>
  <si>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</si>
  <si>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</si>
  <si>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</si>
  <si>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</si>
  <si>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</si>
  <si>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</si>
  <si>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</si>
  <si>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</si>
  <si>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</si>
  <si>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</si>
  <si>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</si>
  <si>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</si>
  <si>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</si>
  <si>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</si>
  <si>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</si>
  <si>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</si>
  <si>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</si>
  <si>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</si>
  <si>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</si>
  <si>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</si>
  <si>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</si>
  <si>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</si>
  <si>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</si>
  <si>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</si>
  <si>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</si>
  <si>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</si>
  <si>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</si>
  <si>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</si>
  <si>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</si>
  <si>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</si>
  <si>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</si>
  <si>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</si>
  <si>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</si>
  <si>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</si>
  <si>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</si>
  <si>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</si>
  <si>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</si>
  <si>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</si>
  <si>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</si>
  <si>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</si>
  <si>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</si>
  <si>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</si>
  <si>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</si>
  <si>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</si>
  <si>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</si>
  <si>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</si>
  <si>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</si>
  <si>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</si>
  <si>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</si>
  <si>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</si>
  <si>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</si>
  <si>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</si>
  <si>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</si>
  <si>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</si>
  <si>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</si>
  <si>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</si>
  <si>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</si>
  <si>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</si>
  <si>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</si>
  <si>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</si>
  <si>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</si>
  <si>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</si>
  <si>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</si>
  <si>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</si>
  <si>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</si>
  <si>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</si>
  <si>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</si>
  <si>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</si>
  <si>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</si>
  <si>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</si>
  <si>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</si>
  <si>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</si>
  <si>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</si>
  <si>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</si>
  <si>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</si>
  <si>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</si>
  <si>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</si>
  <si>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</si>
  <si>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</si>
  <si>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</si>
  <si>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</si>
  <si>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</si>
  <si>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</si>
  <si>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</si>
  <si>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</si>
  <si>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</si>
  <si>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</si>
  <si>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</si>
  <si>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</si>
  <si>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</si>
  <si>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</si>
  <si>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</si>
  <si>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</si>
  <si>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</si>
  <si>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</si>
  <si>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</si>
  <si>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</si>
  <si>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</si>
  <si>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</si>
  <si>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</si>
  <si>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</si>
  <si>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</si>
  <si>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</si>
  <si>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</si>
  <si>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</si>
  <si>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</si>
  <si>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</si>
  <si>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</si>
  <si>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</si>
  <si>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</si>
  <si>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</si>
  <si>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</si>
  <si>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</si>
  <si>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</si>
  <si>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</si>
  <si>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</si>
  <si>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</si>
  <si>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</si>
  <si>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</si>
  <si>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</si>
  <si>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</si>
  <si>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</si>
  <si>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</si>
  <si>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</si>
  <si>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</si>
  <si>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</si>
  <si>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</si>
  <si>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</si>
  <si>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</si>
  <si>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</si>
  <si>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</si>
  <si>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</si>
  <si>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</si>
  <si>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</si>
  <si>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</si>
  <si>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</si>
  <si>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</si>
  <si>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</si>
  <si>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</si>
  <si>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</si>
  <si>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</si>
  <si>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</si>
  <si>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</si>
  <si>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</si>
  <si>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</si>
  <si>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</si>
  <si>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</si>
  <si>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</si>
  <si>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</si>
  <si>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</si>
  <si>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</si>
  <si>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</si>
  <si>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</si>
  <si>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</si>
  <si>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</si>
  <si>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</si>
  <si>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</si>
  <si>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</si>
  <si>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</si>
  <si>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</si>
  <si>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</si>
  <si>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</si>
  <si>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</si>
  <si>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</si>
  <si>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</si>
  <si>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</si>
  <si>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</si>
  <si>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</si>
  <si>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</si>
  <si>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</si>
  <si>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</si>
  <si>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</si>
  <si>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</si>
  <si>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</si>
  <si>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</si>
  <si>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</si>
  <si>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</si>
  <si>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</si>
  <si>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</si>
  <si>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</si>
  <si>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</si>
  <si>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</si>
  <si>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</si>
  <si>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</si>
  <si>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</si>
  <si>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</si>
  <si>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</si>
  <si>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</si>
  <si>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</si>
  <si>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</si>
  <si>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</si>
  <si>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</si>
  <si>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</si>
  <si>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</si>
  <si>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</si>
  <si>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</si>
  <si>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</si>
  <si>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</si>
  <si>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</si>
  <si>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</si>
  <si>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</si>
  <si>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</si>
  <si>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</si>
  <si>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</si>
  <si>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</si>
  <si>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</si>
  <si>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</si>
  <si>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</si>
  <si>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</si>
  <si>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</si>
  <si>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</si>
  <si>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</si>
  <si>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</si>
  <si>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</si>
  <si>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</si>
  <si>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</si>
  <si>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</si>
  <si>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</si>
  <si>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</si>
  <si>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</si>
  <si>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</si>
  <si>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</si>
  <si>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</si>
  <si>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</si>
  <si>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</si>
  <si>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</si>
  <si>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</si>
  <si>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</si>
  <si>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</si>
  <si>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</si>
  <si>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</si>
  <si>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</si>
  <si>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</si>
  <si>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</si>
  <si>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</si>
  <si>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</si>
  <si>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</si>
  <si>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</si>
  <si>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</si>
  <si>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</si>
  <si>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</si>
  <si>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</si>
  <si>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</si>
  <si>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</si>
  <si>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</si>
  <si>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</si>
  <si>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</si>
  <si>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</si>
  <si>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</si>
  <si>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</si>
  <si>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</si>
  <si>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</si>
  <si>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</si>
  <si>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</si>
  <si>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</si>
  <si>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</si>
  <si>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</si>
  <si>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</si>
  <si>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</si>
  <si>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</si>
  <si>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</si>
  <si>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</si>
  <si>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</si>
  <si>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</si>
  <si>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</si>
  <si>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</si>
  <si>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</si>
  <si>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</si>
  <si>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</si>
  <si>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</si>
  <si>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</si>
  <si>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</si>
  <si>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</si>
  <si>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</si>
  <si>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</si>
  <si>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</si>
  <si>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</si>
  <si>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</si>
  <si>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</si>
  <si>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</si>
  <si>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</si>
  <si>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</si>
  <si>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</si>
  <si>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</si>
  <si>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</si>
  <si>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</si>
  <si>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</si>
  <si>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</si>
  <si>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</si>
  <si>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</si>
  <si>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</si>
  <si>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</si>
  <si>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</si>
  <si>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</si>
  <si>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</si>
  <si>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</si>
  <si>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</si>
  <si>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</si>
  <si>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</si>
  <si>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</si>
  <si>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</si>
  <si>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</si>
  <si>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</si>
  <si>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</si>
  <si>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</si>
  <si>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</si>
  <si>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</si>
  <si>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</si>
  <si>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</si>
  <si>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</si>
  <si>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</si>
  <si>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</si>
  <si>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</si>
  <si>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</si>
  <si>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</si>
  <si>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</si>
  <si>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</si>
  <si>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</si>
  <si>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</si>
  <si>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</si>
  <si>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</si>
  <si>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</si>
  <si>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</si>
  <si>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</si>
  <si>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</si>
  <si>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</si>
  <si>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</si>
  <si>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</si>
  <si>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</si>
  <si>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</si>
  <si>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</si>
  <si>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</si>
  <si>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</si>
  <si>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</si>
  <si>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</si>
  <si>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</si>
  <si>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</si>
  <si>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</si>
  <si>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</si>
  <si>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</si>
  <si>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</si>
  <si>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</si>
  <si>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</si>
  <si>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</si>
  <si>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</si>
  <si>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</si>
  <si>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</si>
  <si>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</si>
  <si>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</si>
  <si>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</si>
  <si>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</si>
  <si>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</si>
  <si>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</si>
  <si>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</si>
  <si>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</si>
  <si>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</si>
  <si>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</si>
  <si>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</si>
  <si>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</si>
  <si>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</si>
  <si>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</si>
  <si>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</si>
  <si>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</si>
  <si>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</si>
  <si>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</si>
  <si>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</si>
  <si>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</si>
  <si>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</si>
  <si>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</si>
  <si>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</si>
  <si>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</si>
  <si>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</si>
  <si>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</si>
  <si>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</si>
  <si>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</si>
  <si>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</si>
  <si>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</si>
  <si>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</si>
  <si>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</si>
  <si>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</si>
  <si>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</si>
  <si>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</si>
  <si>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</si>
  <si>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</si>
  <si>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</si>
  <si>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</si>
  <si>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</si>
  <si>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</si>
  <si>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</si>
  <si>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</si>
  <si>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</si>
  <si>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</si>
  <si>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</si>
  <si>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</si>
  <si>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</si>
  <si>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</si>
  <si>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</si>
  <si>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</si>
  <si>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</si>
  <si>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</si>
  <si>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</si>
  <si>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</si>
  <si>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</si>
  <si>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</si>
  <si>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</si>
  <si>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</si>
  <si>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</si>
  <si>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</si>
  <si>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</si>
  <si>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</si>
  <si>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</si>
  <si>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</si>
  <si>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</si>
  <si>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</si>
  <si>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</si>
  <si>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</si>
  <si>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</si>
  <si>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</si>
  <si>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</si>
  <si>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</si>
  <si>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</si>
  <si>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</si>
  <si>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</si>
  <si>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</si>
  <si>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</si>
  <si>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</si>
  <si>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</si>
  <si>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</si>
  <si>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</si>
  <si>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</si>
  <si>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</si>
  <si>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</si>
  <si>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</si>
  <si>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</si>
  <si>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</si>
  <si>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</si>
  <si>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</si>
  <si>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</si>
  <si>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</si>
  <si>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</si>
  <si>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</si>
  <si>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</si>
  <si>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</si>
  <si>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</si>
  <si>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</si>
  <si>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</si>
  <si>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</si>
  <si>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</si>
  <si>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</si>
  <si>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</si>
  <si>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</si>
  <si>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</si>
  <si>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</si>
  <si>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</si>
  <si>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</si>
  <si>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</si>
  <si>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</si>
  <si>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</si>
  <si>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</si>
  <si>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</si>
  <si>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</si>
  <si>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</si>
  <si>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</si>
  <si>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</si>
  <si>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</si>
  <si>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</si>
  <si>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</si>
  <si>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</si>
  <si>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</si>
  <si>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</si>
  <si>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</si>
  <si>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</si>
  <si>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</si>
  <si>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</si>
  <si>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</si>
  <si>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</si>
  <si>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</si>
  <si>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</si>
  <si>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</si>
  <si>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</si>
  <si>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</si>
  <si>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</si>
  <si>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</si>
  <si>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</si>
  <si>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</si>
  <si>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</si>
  <si>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</si>
  <si>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</si>
  <si>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</si>
  <si>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</si>
  <si>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</si>
  <si>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</si>
  <si>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</si>
  <si>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</si>
  <si>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</si>
  <si>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</si>
  <si>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</si>
  <si>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</si>
  <si>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</si>
  <si>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</si>
  <si>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</si>
  <si>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</si>
  <si>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</si>
  <si>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</si>
  <si>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</si>
  <si>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</si>
  <si>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</si>
  <si>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</si>
  <si>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</si>
  <si>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</si>
  <si>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</si>
  <si>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</si>
  <si>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</si>
  <si>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</si>
  <si>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</si>
  <si>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</si>
  <si>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</si>
  <si>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</si>
  <si>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</si>
  <si>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</si>
  <si>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</si>
  <si>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</si>
  <si>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</si>
  <si>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</si>
  <si>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</si>
  <si>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</si>
  <si>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</si>
  <si>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</si>
  <si>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</si>
  <si>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</si>
  <si>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</si>
  <si>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</si>
  <si>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</si>
  <si>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</si>
  <si>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</si>
  <si>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</si>
  <si>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</si>
  <si>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</si>
  <si>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</si>
  <si>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</si>
  <si>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</si>
  <si>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</si>
  <si>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</si>
  <si>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</si>
  <si>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</si>
  <si>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</si>
  <si>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</si>
  <si>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</si>
  <si>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</si>
  <si>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</si>
  <si>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</si>
  <si>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</si>
  <si>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</si>
  <si>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</si>
  <si>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</si>
  <si>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</si>
  <si>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</si>
  <si>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</si>
  <si>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</si>
  <si>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</si>
  <si>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</si>
  <si>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</si>
  <si>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</si>
  <si>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</si>
  <si>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</si>
  <si>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</si>
  <si>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</si>
  <si>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</si>
  <si>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</si>
  <si>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</si>
  <si>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</si>
  <si>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</si>
  <si>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</si>
  <si>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</si>
  <si>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</si>
  <si>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</si>
  <si>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</si>
  <si>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</si>
  <si>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</si>
  <si>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</si>
  <si>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</si>
  <si>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</si>
  <si>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</si>
  <si>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</si>
  <si>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</si>
  <si>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</si>
  <si>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</si>
  <si>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</si>
  <si>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</si>
  <si>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</si>
  <si>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</si>
  <si>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</si>
  <si>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</si>
  <si>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</si>
  <si>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</si>
  <si>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</si>
  <si>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</si>
  <si>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</si>
  <si>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</si>
  <si>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</si>
  <si>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</si>
  <si>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</si>
  <si>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</si>
  <si>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</si>
  <si>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</si>
  <si>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</si>
  <si>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</si>
  <si>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</si>
  <si>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</si>
  <si>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</si>
  <si>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</si>
  <si>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</si>
  <si>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</si>
  <si>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</si>
  <si>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</si>
  <si>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</si>
  <si>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</si>
  <si>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</si>
  <si>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</si>
  <si>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</si>
  <si>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</si>
  <si>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</si>
  <si>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</si>
  <si>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</si>
  <si>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</si>
  <si>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</si>
  <si>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</si>
  <si>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</si>
  <si>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</si>
  <si>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</si>
  <si>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</si>
  <si>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</si>
  <si>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</si>
  <si>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</si>
  <si>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</si>
  <si>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</si>
  <si>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</si>
  <si>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</si>
  <si>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</si>
  <si>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</si>
  <si>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</si>
  <si>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</si>
  <si>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</si>
  <si>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</si>
  <si>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</si>
  <si>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</si>
  <si>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</si>
  <si>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</si>
  <si>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</si>
  <si>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</si>
  <si>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</si>
  <si>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</si>
  <si>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</si>
  <si>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</si>
  <si>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</si>
  <si>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</si>
  <si>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</si>
  <si>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</si>
  <si>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</si>
  <si>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</si>
  <si>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</si>
  <si>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</si>
  <si>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</si>
  <si>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</si>
  <si>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</si>
  <si>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</si>
  <si>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</si>
  <si>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</si>
  <si>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</si>
  <si>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</si>
  <si>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</si>
  <si>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</si>
  <si>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</si>
  <si>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</si>
  <si>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</si>
  <si>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</si>
  <si>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</si>
  <si>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</si>
  <si>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</si>
  <si>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</si>
  <si>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</si>
  <si>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</si>
  <si>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</si>
  <si>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</si>
  <si>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</si>
  <si>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</si>
  <si>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</si>
  <si>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</si>
  <si>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</si>
  <si>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</si>
  <si>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</si>
  <si>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</si>
  <si>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</si>
  <si>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</si>
  <si>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</si>
  <si>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</si>
  <si>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</si>
  <si>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</si>
  <si>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</si>
  <si>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</si>
  <si>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</si>
  <si>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</si>
  <si>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</si>
  <si>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</si>
  <si>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</si>
  <si>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</si>
  <si>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</si>
  <si>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</si>
  <si>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</si>
  <si>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</si>
  <si>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</si>
  <si>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</si>
  <si>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</si>
  <si>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</si>
  <si>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</si>
  <si>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</si>
  <si>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</si>
  <si>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</si>
  <si>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</si>
  <si>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</si>
  <si>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</si>
  <si>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</si>
  <si>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</si>
  <si>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</si>
  <si>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</si>
  <si>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</si>
  <si>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</si>
  <si>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</si>
  <si>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</si>
  <si>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</si>
  <si>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</si>
  <si>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</si>
  <si>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</si>
  <si>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</si>
  <si>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</si>
  <si>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</si>
  <si>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</si>
  <si>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</si>
  <si>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</si>
  <si>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</si>
  <si>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</si>
  <si>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</si>
  <si>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</si>
  <si>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</si>
  <si>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</si>
  <si>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</si>
  <si>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</si>
  <si>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</si>
  <si>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</si>
  <si>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</si>
  <si>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</si>
  <si>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</si>
  <si>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</si>
  <si>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</si>
  <si>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</si>
  <si>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</si>
  <si>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</si>
  <si>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</si>
  <si>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</si>
  <si>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</si>
  <si>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</si>
  <si>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</si>
  <si>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</si>
  <si>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</si>
  <si>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</si>
  <si>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</si>
  <si>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</si>
  <si>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</si>
  <si>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</si>
  <si>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</si>
  <si>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</si>
  <si>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</si>
  <si>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</si>
  <si>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</si>
  <si>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</si>
  <si>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</si>
  <si>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</si>
  <si>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</si>
  <si>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</si>
  <si>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</si>
  <si>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</si>
  <si>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</si>
  <si>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</si>
  <si>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</si>
  <si>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</si>
  <si>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</si>
  <si>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</si>
  <si>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</si>
  <si>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</si>
  <si>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</si>
  <si>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</si>
  <si>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</si>
  <si>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</si>
  <si>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</si>
  <si>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</si>
  <si>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</si>
  <si>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</si>
  <si>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</si>
  <si>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</si>
  <si>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</si>
  <si>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</si>
  <si>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</si>
  <si>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</si>
  <si>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</si>
  <si>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</si>
  <si>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</si>
  <si>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</si>
  <si>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</si>
  <si>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</si>
  <si>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</si>
  <si>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</si>
  <si>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</si>
  <si>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</si>
  <si>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</si>
  <si>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</si>
  <si>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</si>
  <si>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</si>
  <si>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</si>
  <si>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</si>
  <si>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</si>
  <si>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</si>
  <si>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</si>
  <si>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</si>
  <si>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</si>
  <si>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</si>
  <si>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</si>
  <si>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</si>
  <si>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</si>
  <si>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</si>
  <si>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</si>
  <si>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</si>
  <si>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</si>
  <si>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</si>
  <si>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</si>
  <si>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</si>
  <si>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</si>
  <si>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</si>
  <si>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</si>
  <si>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</si>
  <si>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</si>
  <si>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</si>
  <si>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</si>
  <si>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</si>
  <si>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</si>
  <si>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</si>
  <si>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</si>
  <si>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</si>
  <si>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</si>
  <si>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</si>
  <si>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</si>
  <si>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</si>
  <si>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</si>
  <si>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</si>
  <si>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</si>
  <si>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</si>
  <si>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</si>
  <si>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</si>
  <si>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</si>
  <si>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</si>
  <si>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</si>
  <si>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</si>
  <si>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</si>
  <si>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</si>
  <si>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</si>
  <si>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</si>
  <si>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</si>
  <si>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</si>
  <si>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</si>
  <si>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</si>
  <si>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</si>
  <si>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</si>
  <si>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</si>
  <si>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</si>
  <si>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</si>
  <si>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</si>
  <si>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</si>
  <si>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</si>
  <si>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</si>
  <si>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</si>
  <si>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</si>
  <si>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</si>
  <si>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</si>
  <si>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</si>
  <si>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</si>
  <si>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</si>
  <si>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</si>
  <si>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</si>
  <si>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</si>
  <si>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</si>
  <si>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</si>
  <si>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</si>
  <si>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</si>
  <si>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</si>
  <si>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</si>
  <si>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</si>
  <si>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</si>
  <si>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</si>
  <si>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</si>
  <si>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</si>
  <si>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</si>
  <si>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</si>
  <si>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</si>
  <si>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</si>
  <si>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</si>
  <si>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</si>
  <si>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</si>
  <si>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</si>
  <si>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</si>
  <si>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</si>
  <si>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</si>
  <si>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</si>
  <si>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</si>
  <si>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</si>
  <si>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</si>
  <si>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</si>
  <si>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</si>
  <si>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</si>
  <si>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</si>
  <si>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</si>
  <si>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</si>
  <si>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</si>
  <si>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</si>
  <si>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</si>
  <si>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</si>
  <si>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</si>
  <si>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</si>
  <si>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</si>
  <si>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</si>
  <si>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</si>
  <si>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</si>
  <si>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</si>
  <si>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</si>
  <si>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</si>
  <si>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</si>
  <si>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</si>
  <si>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</si>
  <si>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</si>
  <si>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</si>
  <si>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</si>
  <si>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</si>
  <si>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</si>
  <si>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</si>
  <si>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</si>
  <si>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</si>
  <si>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</si>
  <si>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</si>
  <si>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</si>
  <si>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</si>
  <si>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</si>
  <si>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</si>
  <si>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</si>
  <si>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</si>
  <si>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</si>
  <si>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</si>
  <si>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</si>
  <si>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</si>
  <si>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</si>
  <si>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</si>
  <si>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</si>
  <si>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</si>
  <si>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</si>
  <si>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</si>
  <si>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</si>
  <si>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</si>
  <si>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</si>
  <si>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</si>
  <si>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</si>
  <si>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</si>
  <si>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</si>
  <si>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</si>
  <si>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</si>
  <si>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</si>
  <si>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</si>
  <si>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</si>
  <si>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</si>
  <si>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</si>
  <si>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</si>
  <si>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</si>
  <si>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</si>
  <si>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</si>
  <si>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</si>
  <si>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</si>
  <si>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</si>
  <si>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</si>
  <si>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</si>
  <si>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</si>
  <si>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</si>
  <si>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</si>
  <si>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</si>
  <si>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</si>
  <si>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</si>
  <si>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</si>
  <si>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</si>
  <si>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</si>
  <si>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</si>
  <si>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</si>
  <si>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</si>
  <si>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</si>
  <si>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</si>
  <si>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</si>
  <si>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</si>
  <si>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</si>
  <si>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</si>
  <si>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</si>
  <si>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</si>
  <si>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</si>
  <si>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</si>
  <si>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</si>
  <si>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</si>
  <si>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</si>
  <si>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</si>
  <si>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</si>
  <si>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</si>
  <si>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</si>
  <si>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</si>
  <si>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</si>
  <si>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</si>
  <si>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</si>
  <si>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</si>
  <si>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</si>
  <si>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</si>
  <si>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</si>
  <si>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</si>
  <si>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</si>
  <si>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</si>
  <si>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</si>
  <si>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</si>
  <si>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</si>
  <si>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</si>
  <si>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</si>
  <si>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</si>
  <si>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</si>
  <si>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</si>
  <si>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</si>
  <si>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</si>
  <si>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</si>
  <si>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</si>
  <si>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</si>
  <si>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</si>
  <si>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</si>
  <si>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</si>
  <si>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</si>
  <si>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</si>
  <si>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</si>
  <si>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</si>
  <si>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</si>
  <si>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</si>
  <si>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</si>
  <si>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</si>
  <si>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</si>
  <si>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</si>
  <si>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</si>
  <si>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</si>
  <si>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</si>
  <si>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</si>
  <si>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</si>
  <si>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</si>
  <si>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</si>
  <si>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</si>
  <si>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</si>
  <si>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</si>
  <si>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</si>
  <si>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</si>
  <si>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</si>
  <si>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</si>
  <si>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</si>
  <si>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</si>
  <si>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</si>
  <si>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</si>
  <si>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</si>
  <si>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</si>
  <si>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</si>
  <si>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</si>
  <si>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</si>
  <si>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</si>
  <si>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</si>
  <si>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</si>
  <si>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</si>
  <si>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</si>
  <si>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</si>
  <si>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</si>
  <si>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</si>
  <si>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</si>
  <si>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</si>
  <si>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</si>
  <si>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</si>
  <si>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</si>
  <si>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</si>
  <si>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</si>
  <si>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</si>
  <si>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</si>
  <si>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</si>
  <si>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</si>
  <si>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</si>
  <si>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</si>
  <si>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</si>
  <si>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</si>
  <si>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</si>
  <si>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</si>
  <si>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</si>
  <si>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</si>
  <si>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</si>
  <si>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</si>
  <si>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</si>
  <si>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</si>
  <si>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</si>
  <si>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</si>
  <si>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</si>
  <si>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</si>
  <si>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</si>
  <si>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</si>
  <si>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</si>
  <si>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</si>
  <si>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</si>
  <si>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</si>
  <si>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</si>
  <si>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</si>
  <si>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</si>
  <si>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</si>
  <si>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</si>
  <si>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</si>
  <si>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</si>
  <si>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</si>
  <si>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</si>
  <si>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</si>
  <si>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</si>
  <si>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</si>
  <si>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</si>
  <si>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</si>
  <si>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</si>
  <si>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</si>
  <si>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</si>
  <si>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</si>
  <si>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</si>
  <si>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</si>
  <si>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</si>
  <si>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</si>
  <si>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</si>
  <si>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</si>
  <si>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</si>
  <si>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</si>
  <si>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</si>
  <si>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</si>
  <si>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</si>
  <si>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</si>
  <si>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</si>
  <si>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</si>
  <si>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</si>
  <si>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</si>
  <si>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</si>
  <si>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</si>
  <si>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</si>
  <si>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</si>
  <si>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</si>
  <si>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</si>
  <si>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</si>
  <si>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</si>
  <si>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</si>
  <si>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</si>
  <si>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</si>
  <si>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</si>
  <si>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</si>
  <si>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</si>
  <si>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</si>
  <si>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</si>
  <si>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</si>
  <si>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</si>
  <si>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</si>
  <si>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</si>
  <si>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</si>
  <si>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</si>
  <si>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</si>
  <si>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</si>
  <si>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</si>
  <si>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</si>
  <si>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</si>
  <si>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</si>
  <si>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</si>
  <si>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</si>
  <si>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</si>
  <si>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</si>
  <si>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</si>
  <si>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</si>
  <si>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</si>
  <si>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</si>
  <si>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</si>
  <si>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</si>
  <si>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</si>
  <si>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</si>
  <si>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</si>
  <si>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</si>
  <si>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</si>
  <si>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</si>
  <si>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</si>
  <si>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</si>
  <si>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</si>
  <si>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</si>
  <si>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</si>
  <si>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</si>
  <si>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</si>
  <si>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</si>
  <si>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</si>
  <si>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</si>
  <si>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</si>
  <si>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</si>
  <si>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</si>
  <si>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</si>
  <si>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</si>
  <si>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</si>
  <si>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</si>
  <si>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</si>
  <si>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</si>
  <si>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</si>
  <si>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</si>
  <si>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</si>
  <si>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</si>
  <si>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</si>
  <si>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</si>
  <si>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</si>
  <si>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</si>
  <si>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</si>
  <si>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</si>
  <si>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</si>
  <si>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</si>
  <si>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</si>
  <si>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</si>
  <si>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</si>
  <si>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</si>
  <si>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</si>
  <si>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</si>
  <si>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</si>
  <si>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</si>
  <si>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</si>
  <si>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</si>
  <si>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</si>
  <si>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</si>
  <si>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</si>
  <si>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</si>
  <si>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</si>
  <si>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</si>
  <si>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</si>
  <si>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</si>
  <si>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</si>
  <si>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</si>
  <si>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</si>
  <si>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</si>
  <si>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</si>
  <si>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</si>
  <si>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</si>
  <si>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</si>
  <si>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</si>
  <si>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</si>
  <si>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</si>
  <si>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</si>
  <si>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</si>
  <si>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</si>
  <si>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</si>
  <si>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</si>
  <si>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</si>
  <si>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</si>
  <si>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</si>
  <si>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</si>
  <si>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</si>
  <si>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</si>
  <si>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</si>
  <si>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</si>
  <si>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</si>
  <si>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</si>
  <si>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</si>
  <si>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</si>
  <si>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</si>
  <si>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</si>
  <si>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</si>
  <si>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</si>
  <si>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</si>
  <si>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</si>
  <si>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</si>
  <si>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</si>
  <si>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</si>
  <si>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</si>
  <si>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</si>
  <si>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</si>
  <si>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</si>
  <si>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</si>
  <si>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</si>
  <si>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</si>
  <si>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</si>
  <si>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</si>
  <si>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</si>
  <si>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</si>
  <si>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</si>
  <si>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</si>
  <si>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</si>
  <si>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</si>
  <si>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</si>
  <si>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</si>
  <si>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</si>
  <si>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</si>
  <si>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</si>
  <si>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</si>
  <si>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</si>
  <si>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</si>
  <si>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</si>
  <si>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</si>
  <si>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</si>
  <si>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</si>
  <si>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</si>
  <si>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</si>
  <si>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</si>
  <si>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</si>
  <si>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</si>
  <si>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</si>
  <si>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</si>
  <si>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</si>
  <si>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</si>
  <si>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</si>
  <si>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</si>
  <si>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</si>
  <si>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</si>
  <si>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</si>
  <si>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</si>
  <si>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</si>
  <si>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</si>
  <si>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</si>
  <si>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</si>
  <si>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</si>
  <si>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</si>
  <si>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</si>
  <si>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</si>
  <si>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</si>
  <si>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</si>
  <si>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</si>
  <si>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</si>
  <si>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</si>
  <si>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</si>
  <si>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</si>
  <si>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</si>
  <si>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</si>
  <si>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</si>
  <si>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</si>
  <si>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</si>
  <si>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</si>
  <si>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</si>
  <si>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</si>
  <si>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</si>
  <si>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</si>
  <si>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</si>
  <si>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</si>
  <si>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</si>
  <si>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</si>
  <si>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</si>
  <si>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</si>
  <si>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</si>
  <si>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</si>
  <si>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</si>
  <si>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</si>
  <si>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</si>
  <si>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</si>
  <si>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</si>
  <si>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</si>
  <si>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</si>
  <si>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</si>
  <si>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</si>
  <si>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</si>
  <si>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</si>
  <si>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</si>
  <si>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</si>
  <si>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</si>
  <si>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</si>
  <si>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</si>
  <si>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</si>
  <si>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</si>
  <si>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</si>
  <si>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</si>
  <si>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</si>
  <si>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</si>
  <si>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</si>
  <si>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</si>
  <si>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</si>
  <si>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</si>
  <si>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</si>
  <si>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</si>
  <si>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</si>
  <si>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</si>
  <si>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</si>
  <si>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</si>
  <si>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</si>
  <si>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</si>
  <si>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</si>
  <si>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</si>
  <si>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</si>
  <si>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</si>
  <si>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</si>
  <si>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</si>
  <si>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</si>
  <si>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</si>
  <si>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</si>
  <si>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</si>
  <si>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</si>
  <si>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</si>
  <si>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</si>
  <si>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</si>
  <si>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</si>
  <si>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</si>
  <si>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</si>
  <si>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</si>
  <si>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</si>
  <si>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</si>
  <si>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</si>
  <si>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</si>
  <si>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</si>
  <si>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</si>
  <si>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</si>
  <si>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</si>
  <si>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</si>
  <si>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</si>
  <si>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</si>
  <si>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</si>
  <si>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</si>
  <si>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</si>
  <si>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</si>
  <si>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</si>
  <si>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</si>
  <si>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</si>
  <si>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</si>
  <si>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</si>
  <si>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</si>
  <si>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</si>
  <si>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</si>
  <si>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</si>
  <si>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</si>
  <si>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</si>
  <si>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</si>
  <si>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</si>
  <si>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</si>
  <si>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</si>
  <si>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</si>
  <si>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</si>
  <si>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</si>
  <si>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</si>
  <si>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</si>
  <si>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</si>
  <si>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</si>
  <si>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</si>
  <si>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</si>
  <si>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</si>
  <si>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</si>
  <si>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</si>
  <si>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</si>
  <si>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</si>
  <si>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</si>
  <si>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</si>
  <si>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</si>
  <si>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</si>
  <si>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</si>
  <si>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</si>
  <si>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</si>
  <si>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</si>
  <si>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</si>
  <si>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</si>
  <si>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</si>
  <si>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</si>
  <si>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</si>
  <si>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</si>
  <si>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</si>
  <si>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</si>
  <si>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</si>
  <si>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</si>
  <si>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</si>
  <si>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</si>
  <si>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</si>
  <si>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</si>
  <si>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</si>
  <si>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</si>
  <si>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</si>
  <si>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</si>
  <si>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</si>
  <si>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</si>
  <si>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</si>
  <si>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</si>
  <si>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</si>
  <si>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</si>
  <si>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</si>
  <si>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</si>
  <si>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</si>
  <si>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</si>
  <si>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</si>
  <si>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</si>
  <si>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</si>
  <si>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</si>
  <si>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</si>
  <si>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</si>
  <si>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</si>
  <si>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</si>
  <si>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</si>
  <si>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</si>
  <si>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</si>
  <si>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</si>
  <si>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</si>
  <si>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</si>
  <si>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</si>
  <si>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</si>
  <si>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</si>
  <si>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</si>
  <si>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</si>
  <si>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</si>
  <si>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</si>
  <si>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</si>
  <si>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</si>
  <si>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</si>
  <si>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</si>
  <si>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</si>
  <si>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</si>
  <si>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</si>
  <si>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</si>
  <si>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</si>
  <si>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</si>
  <si>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</si>
  <si>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</si>
  <si>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</si>
  <si>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</si>
  <si>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</si>
  <si>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</si>
  <si>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</si>
  <si>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</si>
  <si>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</si>
  <si>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</si>
  <si>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</si>
  <si>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</si>
  <si>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</si>
  <si>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</si>
  <si>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</si>
  <si>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</si>
  <si>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</si>
  <si>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</si>
  <si>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</si>
  <si>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</si>
  <si>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</si>
  <si>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</si>
  <si>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</si>
  <si>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</si>
  <si>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</si>
  <si>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</si>
  <si>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</si>
  <si>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</si>
  <si>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</si>
  <si>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</si>
  <si>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</si>
  <si>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</si>
  <si>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</si>
  <si>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</si>
  <si>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</si>
  <si>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</si>
  <si>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</si>
  <si>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</si>
  <si>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</si>
  <si>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</si>
  <si>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</si>
  <si>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</si>
  <si>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</si>
  <si>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</si>
  <si>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</si>
  <si>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</si>
  <si>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</si>
  <si>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</si>
  <si>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</si>
  <si>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</si>
  <si>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</si>
  <si>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</si>
  <si>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</si>
  <si>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</si>
  <si>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</si>
  <si>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</si>
  <si>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</si>
  <si>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</si>
  <si>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</si>
  <si>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</si>
  <si>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</si>
  <si>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</si>
  <si>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</si>
  <si>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</si>
  <si>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</si>
  <si>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</si>
  <si>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</si>
  <si>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</si>
  <si>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</si>
  <si>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</si>
  <si>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</si>
  <si>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</si>
  <si>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</si>
  <si>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</si>
  <si>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</si>
  <si>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</si>
  <si>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</si>
  <si>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</si>
  <si>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</si>
  <si>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</si>
  <si>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</si>
  <si>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</si>
  <si>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</si>
  <si>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</si>
  <si>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</si>
  <si>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</si>
  <si>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</si>
  <si>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</si>
  <si>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</si>
  <si>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</si>
  <si>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</si>
  <si>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</si>
  <si>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</si>
  <si>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</si>
  <si>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</si>
  <si>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</si>
  <si>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</si>
  <si>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</si>
  <si>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</si>
  <si>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</si>
  <si>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</si>
  <si>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</si>
  <si>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</si>
  <si>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</si>
  <si>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</si>
  <si>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</si>
  <si>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</si>
  <si>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</si>
  <si>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</si>
  <si>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</si>
  <si>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</si>
  <si>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</si>
  <si>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</si>
  <si>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</si>
  <si>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</si>
  <si>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</si>
  <si>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</si>
  <si>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</si>
  <si>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</si>
  <si>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</si>
  <si>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</si>
  <si>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</si>
  <si>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</si>
  <si>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</si>
  <si>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</si>
  <si>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</si>
  <si>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</si>
  <si>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</si>
  <si>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</si>
  <si>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</si>
  <si>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</si>
  <si>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</si>
  <si>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</si>
  <si>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</si>
  <si>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</si>
  <si>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</si>
  <si>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</si>
  <si>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</si>
  <si>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</si>
  <si>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</si>
  <si>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</si>
  <si>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</si>
  <si>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</si>
  <si>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</si>
  <si>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</si>
  <si>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</si>
  <si>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</si>
  <si>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</si>
  <si>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</si>
  <si>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</si>
  <si>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</si>
  <si>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</si>
  <si>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</si>
  <si>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</si>
  <si>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</si>
  <si>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</si>
  <si>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</si>
  <si>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</si>
  <si>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</si>
  <si>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</si>
  <si>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</si>
  <si>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</si>
  <si>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</si>
  <si>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</si>
  <si>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</si>
  <si>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</si>
  <si>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</si>
  <si>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</si>
  <si>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</si>
  <si>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</si>
  <si>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</si>
  <si>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</si>
  <si>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</si>
  <si>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</si>
  <si>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</si>
  <si>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</si>
  <si>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</si>
  <si>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</si>
  <si>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</si>
  <si>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</si>
  <si>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</si>
  <si>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</si>
  <si>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</si>
  <si>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</si>
  <si>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</si>
  <si>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</si>
  <si>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</si>
  <si>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</si>
  <si>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</si>
  <si>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</si>
  <si>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</si>
  <si>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</si>
  <si>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</si>
  <si>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</si>
  <si>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</si>
  <si>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</si>
  <si>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</si>
  <si>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</si>
  <si>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</si>
  <si>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</si>
  <si>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</si>
  <si>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</si>
  <si>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</si>
  <si>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</si>
  <si>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</si>
  <si>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</si>
  <si>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</si>
  <si>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</si>
  <si>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</si>
  <si>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</si>
  <si>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</si>
  <si>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</si>
  <si>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</si>
  <si>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</si>
  <si>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</si>
  <si>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</si>
  <si>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</si>
  <si>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</si>
  <si>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</si>
  <si>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</si>
  <si>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</si>
  <si>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</si>
  <si>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</si>
  <si>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</si>
  <si>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</si>
  <si>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</si>
  <si>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</si>
  <si>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</si>
  <si>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</si>
  <si>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</si>
  <si>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</si>
  <si>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</si>
  <si>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</si>
  <si>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</si>
  <si>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</si>
  <si>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</si>
  <si>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</si>
  <si>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</si>
  <si>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</si>
  <si>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</si>
  <si>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</si>
  <si>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</si>
  <si>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</si>
  <si>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</si>
  <si>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</si>
  <si>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</si>
  <si>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</si>
  <si>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</si>
  <si>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</si>
  <si>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</si>
  <si>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</si>
  <si>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</si>
  <si>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</si>
  <si>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</si>
  <si>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</si>
  <si>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</si>
  <si>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</si>
  <si>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</si>
  <si>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TAVIGNANO</t>
  </si>
  <si>
    <t xml:space="preserve">Antisanti</t>
  </si>
  <si>
    <t xml:space="preserve">06215585</t>
  </si>
  <si>
    <t xml:space="preserve">7178d - RCS Corse 2015</t>
  </si>
  <si>
    <t xml:space="preserve">pl. courant</t>
  </si>
  <si>
    <t xml:space="preserve">pl. lent</t>
  </si>
  <si>
    <t xml:space="preserve">élevé</t>
  </si>
  <si>
    <t xml:space="preserve">moyen</t>
  </si>
  <si>
    <t xml:space="preserve">abondant</t>
  </si>
  <si>
    <t xml:space="preserve">Cf.</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</si>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</sst>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42184</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9.64</v>
      </c>
      <c r="N5" s="352"/>
      <c r="O5" s="353" t="s">
        <v>298</v>
      </c>
      <c r="P5" s="354" t="n">
        <v>10.3333333333333</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3461</v>
      </c>
      <c r="Q6" s="367"/>
      <c r="R6" s="309"/>
      <c r="S6" s="309"/>
      <c r="T6" s="309"/>
      <c r="U6" s="309"/>
      <c r="V6" s="309"/>
      <c r="W6" s="323"/>
    </row>
    <row r="7" customFormat="false" ht="12.75" hidden="false" customHeight="false" outlineLevel="0" collapsed="false">
      <c r="A7" s="368" t="s">
        <v>3388</v>
      </c>
      <c r="B7" s="369" t="n">
        <v>77</v>
      </c>
      <c r="C7" s="370" t="n">
        <v>23</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10.1818181818182</v>
      </c>
      <c r="P8" s="384" t="n">
        <f aca="false">IF(ISERROR(AVERAGE(K23:K82)),"  ",AVERAGE(K23:K82))</f>
        <v>1.81818181818182</v>
      </c>
      <c r="Q8" s="385"/>
      <c r="R8" s="309"/>
      <c r="S8" s="309"/>
      <c r="T8" s="309"/>
      <c r="U8" s="309"/>
      <c r="V8" s="309"/>
      <c r="W8" s="323"/>
    </row>
    <row r="9" customFormat="false" ht="12.75" hidden="false" customHeight="false" outlineLevel="0" collapsed="false">
      <c r="A9" s="342" t="s">
        <v>3394</v>
      </c>
      <c r="B9" s="386" t="n">
        <v>3.7</v>
      </c>
      <c r="C9" s="387" t="n">
        <v>0.2</v>
      </c>
      <c r="D9" s="388"/>
      <c r="E9" s="388"/>
      <c r="F9" s="389" t="n">
        <f aca="false">($B9*$B$7+$C9*$C$7)/100</f>
        <v>2.895</v>
      </c>
      <c r="G9" s="390"/>
      <c r="H9" s="345"/>
      <c r="I9" s="309"/>
      <c r="J9" s="391"/>
      <c r="K9" s="392"/>
      <c r="L9" s="375"/>
      <c r="M9" s="393"/>
      <c r="N9" s="383" t="s">
        <v>3395</v>
      </c>
      <c r="O9" s="384" t="n">
        <f aca="false">IF(ISERROR(STDEVP(J23:J82))," ",STDEVP(J23:J82))</f>
        <v>3.45932683462554</v>
      </c>
      <c r="P9" s="384" t="n">
        <f aca="false">IF(ISERROR(STDEVP(K23:K82)),"  ",STDEVP(K23:K82))</f>
        <v>0.715818897637437</v>
      </c>
      <c r="Q9" s="385"/>
      <c r="R9" s="309"/>
      <c r="S9" s="309"/>
      <c r="T9" s="309"/>
      <c r="U9" s="309"/>
      <c r="V9" s="309"/>
      <c r="W9" s="323"/>
    </row>
    <row r="10" customFormat="false" ht="12.75" hidden="false" customHeight="false" outlineLevel="0" collapsed="false">
      <c r="A10" s="342" t="s">
        <v>3396</v>
      </c>
      <c r="B10" s="394" t="s">
        <v>3462</v>
      </c>
      <c r="C10" s="395" t="s">
        <v>3462</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15</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10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1</v>
      </c>
      <c r="M13" s="409"/>
      <c r="N13" s="417" t="s">
        <v>3406</v>
      </c>
      <c r="O13" s="418" t="n">
        <f aca="false">COUNTIF(F23:F82,"&gt;0")</f>
        <v>16</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2</v>
      </c>
      <c r="M14" s="409"/>
      <c r="N14" s="420" t="s">
        <v>3409</v>
      </c>
      <c r="O14" s="421" t="n">
        <f aca="false">COUNTIF($J$23:$J$82,"&gt;-1")</f>
        <v>11</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3</v>
      </c>
      <c r="M15" s="409"/>
      <c r="N15" s="417" t="s">
        <v>3412</v>
      </c>
      <c r="O15" s="418" t="n">
        <f aca="false">COUNTIF(K23:K82,"=1")</f>
        <v>4</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5</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0.6875</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3.681</v>
      </c>
      <c r="C20" s="461" t="n">
        <f aca="false">SUM(C23:C62)</f>
        <v>0.175</v>
      </c>
      <c r="D20" s="462"/>
      <c r="E20" s="463" t="s">
        <v>3419</v>
      </c>
      <c r="F20" s="464" t="n">
        <f aca="false">($B20*$B$7+$C20*$C$7)/100</f>
        <v>2.87462</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2.83437</v>
      </c>
      <c r="C21" s="472" t="n">
        <f aca="false">C20*C7/100</f>
        <v>0.04025</v>
      </c>
      <c r="D21" s="473" t="s">
        <v>3422</v>
      </c>
      <c r="E21" s="474"/>
      <c r="F21" s="475" t="n">
        <f aca="false">B21+C21</f>
        <v>2.87462</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2.5</v>
      </c>
      <c r="C23" s="502" t="n">
        <v>0.1</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1.948</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1.948</v>
      </c>
      <c r="S23" s="514" t="n">
        <f aca="false">IF(OR(ISTEXT(H23),R23=0),"",IF(R23&lt;0.1,1,IF(R23&lt;1,2,IF(R23&lt;10,3,IF(R23&lt;50,4,IF(R23&gt;=50,5,""))))))</f>
        <v>3</v>
      </c>
      <c r="T23" s="514" t="n">
        <f aca="false">IF(ISERROR(S23*J23),0,S23*J23)</f>
        <v>18</v>
      </c>
      <c r="U23" s="514" t="n">
        <f aca="false">IF(ISERROR(S23*J23*K23),0,S23*J23*K23)</f>
        <v>18</v>
      </c>
      <c r="V23" s="514" t="n">
        <f aca="false">IF(ISERROR(S23*K23),0,S23*K23)</f>
        <v>3</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149</v>
      </c>
      <c r="B24" s="519" t="n">
        <v>0.005</v>
      </c>
      <c r="C24" s="520"/>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0.00385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0.00385</v>
      </c>
      <c r="S24" s="514" t="n">
        <f aca="false">IF(OR(ISTEXT(H24),R24=0),"",IF(R24&lt;0.1,1,IF(R24&lt;1,2,IF(R24&lt;10,3,IF(R24&lt;50,4,IF(R24&gt;=50,5,""))))))</f>
        <v>1</v>
      </c>
      <c r="T24" s="514" t="n">
        <f aca="false">IF(ISERROR(S24*J24),0,S24*J24)</f>
        <v>12</v>
      </c>
      <c r="U24" s="514" t="n">
        <f aca="false">IF(ISERROR(S24*J24*K24),0,S24*J24*K24)</f>
        <v>24</v>
      </c>
      <c r="V24" s="530" t="n">
        <f aca="false">IF(ISERROR(S24*K24),0,S24*K24)</f>
        <v>2</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193</v>
      </c>
      <c r="B25" s="519" t="n">
        <v>0.02</v>
      </c>
      <c r="C25" s="520" t="n">
        <v>0.005</v>
      </c>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0.01655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0.01655</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226</v>
      </c>
      <c r="B26" s="519"/>
      <c r="C26" s="520" t="n">
        <v>0.01</v>
      </c>
      <c r="D26" s="521" t="str">
        <f aca="false">IF(ISERROR(VLOOKUP($A26,'liste reference'!$A$6:$B$1174,2,0)),IF(ISERROR(VLOOKUP($A26,'liste reference'!$B$6:$B$1174,1,0)),"",VLOOKUP($A26,'liste reference'!$B$6:$B$1174,1,0)),VLOOKUP($A26,'liste reference'!$A$6:$B$1174,2,0))</f>
        <v>Melosira sp.</v>
      </c>
      <c r="E26" s="522" t="e">
        <f aca="false">IF(D26="",0,VLOOKUP(D26,D$22:D25,1,0))</f>
        <v>#N/A</v>
      </c>
      <c r="F26" s="523" t="n">
        <f aca="false">IF(AND(OR(A26="",A26="!!!!!!"),B26="",C26=""),"",IF(OR(AND(B26="",C26=""),ISERROR(C26+B26)),"!!!",($B26*$B$7+$C26*$C$7)/100))</f>
        <v>0.0023</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Melosira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8714</v>
      </c>
      <c r="R26" s="513" t="n">
        <f aca="false">IF(ISTEXT(H26),"",(B26*$B$7/100)+(C26*$C$7/100))</f>
        <v>0.0023</v>
      </c>
      <c r="S26" s="514" t="n">
        <f aca="false">IF(OR(ISTEXT(H26),R26=0),"",IF(R26&lt;0.1,1,IF(R26&lt;1,2,IF(R26&lt;10,3,IF(R26&lt;50,4,IF(R26&gt;=50,5,""))))))</f>
        <v>1</v>
      </c>
      <c r="T26" s="514" t="n">
        <f aca="false">IF(ISERROR(S26*J26),0,S26*J26)</f>
        <v>10</v>
      </c>
      <c r="U26" s="514" t="n">
        <f aca="false">IF(ISERROR(S26*J26*K26),0,S26*J26*K26)</f>
        <v>10</v>
      </c>
      <c r="V26" s="530" t="n">
        <f aca="false">IF(ISERROR(S26*K26),0,S26*K26)</f>
        <v>1</v>
      </c>
      <c r="W26" s="531"/>
      <c r="X26" s="532"/>
      <c r="Y26" s="517" t="str">
        <f aca="false">IF(AND(ISNUMBER(F26),OR(A26="",A26="!!!!!!")),"!!!!!!",IF(A26="new.cod","NEWCOD",IF(AND((Z26=""),ISTEXT(A26),A26&lt;&gt;"!!!!!!"),A26,IF(Z26="","",INDEX('liste reference'!$A$6:$A$1174,Z26)))))</f>
        <v>MELSPX</v>
      </c>
      <c r="Z26" s="499" t="n">
        <f aca="false">IF(ISERROR(MATCH(A26,'liste reference'!$A$6:$A$1174,0)),IF(ISERROR(MATCH(A26,'liste reference'!$B$6:$B$1174,0)),"",(MATCH(A26,'liste reference'!$B$6:$B$1174,0))),(MATCH(A26,'liste reference'!$A$6:$A$1174,0)))</f>
        <v>62</v>
      </c>
    </row>
    <row r="27" customFormat="false" ht="12.75" hidden="false" customHeight="false" outlineLevel="0" collapsed="false">
      <c r="A27" s="518" t="s">
        <v>242</v>
      </c>
      <c r="B27" s="519"/>
      <c r="C27" s="520" t="n">
        <v>0.005</v>
      </c>
      <c r="D27" s="521" t="str">
        <f aca="false">IF(ISERROR(VLOOKUP($A27,'liste reference'!$A$6:$B$1174,2,0)),IF(ISERROR(VLOOKUP($A27,'liste reference'!$B$6:$B$1174,1,0)),"",VLOOKUP($A27,'liste reference'!$B$6:$B$1174,1,0)),VLOOKUP($A27,'liste reference'!$A$6:$B$1174,2,0))</f>
        <v>Mougeotia sp.</v>
      </c>
      <c r="E27" s="522" t="e">
        <f aca="false">IF(D27="",0,VLOOKUP(D27,D$22:D26,1,0))</f>
        <v>#N/A</v>
      </c>
      <c r="F27" s="523" t="n">
        <f aca="false">IF(AND(OR(A27="",A27="!!!!!!"),B27="",C27=""),"",IF(OR(AND(B27="",C27=""),ISERROR(C27+B27)),"!!!",($B27*$B$7+$C27*$C$7)/100))</f>
        <v>0.00115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Mougeotia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1146</v>
      </c>
      <c r="R27" s="513" t="n">
        <f aca="false">IF(ISTEXT(H27),"",(B27*$B$7/100)+(C27*$C$7/100))</f>
        <v>0.00115</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MOUSPX</v>
      </c>
      <c r="Z27" s="499" t="n">
        <f aca="false">IF(ISERROR(MATCH(A27,'liste reference'!$A$6:$A$1174,0)),IF(ISERROR(MATCH(A27,'liste reference'!$B$6:$B$1174,0)),"",(MATCH(A27,'liste reference'!$B$6:$B$1174,0))),(MATCH(A27,'liste reference'!$A$6:$A$1174,0)))</f>
        <v>68</v>
      </c>
    </row>
    <row r="28" customFormat="false" ht="12.75" hidden="false" customHeight="false" outlineLevel="0" collapsed="false">
      <c r="A28" s="518" t="s">
        <v>289</v>
      </c>
      <c r="B28" s="519" t="n">
        <v>0.005</v>
      </c>
      <c r="C28" s="520" t="n">
        <v>0.005</v>
      </c>
      <c r="D28" s="521" t="str">
        <f aca="false">IF(ISERROR(VLOOKUP($A28,'liste reference'!$A$6:$B$1174,2,0)),IF(ISERROR(VLOOKUP($A28,'liste reference'!$B$6:$B$1174,1,0)),"",VLOOKUP($A28,'liste reference'!$B$6:$B$1174,1,0)),VLOOKUP($A28,'liste reference'!$A$6:$B$1174,2,0))</f>
        <v>Nostoc sp.</v>
      </c>
      <c r="E28" s="522" t="e">
        <f aca="false">IF(D28="",0,VLOOKUP(D28,D$22:D27,1,0))</f>
        <v>#N/A</v>
      </c>
      <c r="F28" s="523" t="n">
        <f aca="false">IF(AND(OR(A28="",A28="!!!!!!"),B28="",C28=""),"",IF(OR(AND(B28="",C28=""),ISERROR(C28+B28)),"!!!",($B28*$B$7+$C28*$C$7)/100))</f>
        <v>0.005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9</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Nostoc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1105</v>
      </c>
      <c r="R28" s="513" t="n">
        <f aca="false">IF(ISTEXT(H28),"",(B28*$B$7/100)+(C28*$C$7/100))</f>
        <v>0.005</v>
      </c>
      <c r="S28" s="514" t="n">
        <f aca="false">IF(OR(ISTEXT(H28),R28=0),"",IF(R28&lt;0.1,1,IF(R28&lt;1,2,IF(R28&lt;10,3,IF(R28&lt;50,4,IF(R28&gt;=50,5,""))))))</f>
        <v>1</v>
      </c>
      <c r="T28" s="514" t="n">
        <f aca="false">IF(ISERROR(S28*J28),0,S28*J28)</f>
        <v>9</v>
      </c>
      <c r="U28" s="514" t="n">
        <f aca="false">IF(ISERROR(S28*J28*K28),0,S28*J28*K28)</f>
        <v>9</v>
      </c>
      <c r="V28" s="530" t="n">
        <f aca="false">IF(ISERROR(S28*K28),0,S28*K28)</f>
        <v>1</v>
      </c>
      <c r="W28" s="531"/>
      <c r="X28" s="532"/>
      <c r="Y28" s="517" t="str">
        <f aca="false">IF(AND(ISNUMBER(F28),OR(A28="",A28="!!!!!!")),"!!!!!!",IF(A28="new.cod","NEWCOD",IF(AND((Z28=""),ISTEXT(A28),A28&lt;&gt;"!!!!!!"),A28,IF(Z28="","",INDEX('liste reference'!$A$6:$A$1174,Z28)))))</f>
        <v>NOSSPX</v>
      </c>
      <c r="Z28" s="499" t="n">
        <f aca="false">IF(ISERROR(MATCH(A28,'liste reference'!$A$6:$A$1174,0)),IF(ISERROR(MATCH(A28,'liste reference'!$B$6:$B$1174,0)),"",(MATCH(A28,'liste reference'!$B$6:$B$1174,0))),(MATCH(A28,'liste reference'!$A$6:$A$1174,0)))</f>
        <v>84</v>
      </c>
    </row>
    <row r="29" customFormat="false" ht="12.75" hidden="false" customHeight="false" outlineLevel="0" collapsed="false">
      <c r="A29" s="518" t="s">
        <v>298</v>
      </c>
      <c r="B29" s="519" t="n">
        <v>0.25</v>
      </c>
      <c r="C29" s="520" t="n">
        <v>0.03</v>
      </c>
      <c r="D29" s="521" t="str">
        <f aca="false">IF(ISERROR(VLOOKUP($A29,'liste reference'!$A$6:$B$1174,2,0)),IF(ISERROR(VLOOKUP($A29,'liste reference'!$B$6:$B$1174,1,0)),"",VLOOKUP($A29,'liste reference'!$B$6:$B$1174,1,0)),VLOOKUP($A29,'liste reference'!$A$6:$B$1174,2,0))</f>
        <v>Oedogonium sp.</v>
      </c>
      <c r="E29" s="522" t="e">
        <f aca="false">IF(D29="",0,VLOOKUP(D29,D$22:D28,1,0))</f>
        <v>#N/A</v>
      </c>
      <c r="F29" s="523" t="n">
        <f aca="false">IF(AND(OR(A29="",A29="!!!!!!"),B29="",C29=""),"",IF(OR(AND(B29="",C29=""),ISERROR(C29+B29)),"!!!",($B29*$B$7+$C29*$C$7)/100))</f>
        <v>0.1994</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6</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Oedogonium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1134</v>
      </c>
      <c r="R29" s="513" t="n">
        <f aca="false">IF(ISTEXT(H29),"",(B29*$B$7/100)+(C29*$C$7/100))</f>
        <v>0.1994</v>
      </c>
      <c r="S29" s="514" t="n">
        <f aca="false">IF(OR(ISTEXT(H29),R29=0),"",IF(R29&lt;0.1,1,IF(R29&lt;1,2,IF(R29&lt;10,3,IF(R29&lt;50,4,IF(R29&gt;=50,5,""))))))</f>
        <v>2</v>
      </c>
      <c r="T29" s="514" t="n">
        <f aca="false">IF(ISERROR(S29*J29),0,S29*J29)</f>
        <v>12</v>
      </c>
      <c r="U29" s="514" t="n">
        <f aca="false">IF(ISERROR(S29*J29*K29),0,S29*J29*K29)</f>
        <v>24</v>
      </c>
      <c r="V29" s="530" t="n">
        <f aca="false">IF(ISERROR(S29*K29),0,S29*K29)</f>
        <v>4</v>
      </c>
      <c r="W29" s="531"/>
      <c r="X29" s="532"/>
      <c r="Y29" s="517" t="str">
        <f aca="false">IF(AND(ISNUMBER(F29),OR(A29="",A29="!!!!!!")),"!!!!!!",IF(A29="new.cod","NEWCOD",IF(AND((Z29=""),ISTEXT(A29),A29&lt;&gt;"!!!!!!"),A29,IF(Z29="","",INDEX('liste reference'!$A$6:$A$1174,Z29)))))</f>
        <v>OEDSPX</v>
      </c>
      <c r="Z29" s="499" t="n">
        <f aca="false">IF(ISERROR(MATCH(A29,'liste reference'!$A$6:$A$1174,0)),IF(ISERROR(MATCH(A29,'liste reference'!$B$6:$B$1174,0)),"",(MATCH(A29,'liste reference'!$B$6:$B$1174,0))),(MATCH(A29,'liste reference'!$A$6:$A$1174,0)))</f>
        <v>85</v>
      </c>
    </row>
    <row r="30" customFormat="false" ht="12.75" hidden="false" customHeight="false" outlineLevel="0" collapsed="false">
      <c r="A30" s="518" t="s">
        <v>341</v>
      </c>
      <c r="B30" s="519" t="n">
        <v>0.75</v>
      </c>
      <c r="C30" s="520"/>
      <c r="D30" s="521" t="str">
        <f aca="false">IF(ISERROR(VLOOKUP($A30,'liste reference'!$A$6:$B$1174,2,0)),IF(ISERROR(VLOOKUP($A30,'liste reference'!$B$6:$B$1174,1,0)),"",VLOOKUP($A30,'liste reference'!$B$6:$B$1174,1,0)),VLOOKUP($A30,'liste reference'!$A$6:$B$1174,2,0))</f>
        <v>Spirogyra sp.</v>
      </c>
      <c r="E30" s="522" t="e">
        <f aca="false">IF(D30="",0,VLOOKUP(D30,D$22:D29,1,0))</f>
        <v>#N/A</v>
      </c>
      <c r="F30" s="523" t="n">
        <f aca="false">IF(AND(OR(A30="",A30="!!!!!!"),B30="",C30=""),"",IF(OR(AND(B30="",C30=""),ISERROR(C30+B30)),"!!!",($B30*$B$7+$C30*$C$7)/100))</f>
        <v>0.5775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Spirogyra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1147</v>
      </c>
      <c r="R30" s="513" t="n">
        <f aca="false">IF(ISTEXT(H30),"",(B30*$B$7/100)+(C30*$C$7/100))</f>
        <v>0.5775</v>
      </c>
      <c r="S30" s="514" t="n">
        <f aca="false">IF(OR(ISTEXT(H30),R30=0),"",IF(R30&lt;0.1,1,IF(R30&lt;1,2,IF(R30&lt;10,3,IF(R30&lt;50,4,IF(R30&gt;=50,5,""))))))</f>
        <v>2</v>
      </c>
      <c r="T30" s="514" t="n">
        <f aca="false">IF(ISERROR(S30*J30),0,S30*J30)</f>
        <v>20</v>
      </c>
      <c r="U30" s="514" t="n">
        <f aca="false">IF(ISERROR(S30*J30*K30),0,S30*J30*K30)</f>
        <v>20</v>
      </c>
      <c r="V30" s="530" t="n">
        <f aca="false">IF(ISERROR(S30*K30),0,S30*K30)</f>
        <v>2</v>
      </c>
      <c r="W30" s="531"/>
      <c r="X30" s="532"/>
      <c r="Y30" s="517" t="str">
        <f aca="false">IF(AND(ISNUMBER(F30),OR(A30="",A30="!!!!!!")),"!!!!!!",IF(A30="new.cod","NEWCOD",IF(AND((Z30=""),ISTEXT(A30),A30&lt;&gt;"!!!!!!"),A30,IF(Z30="","",INDEX('liste reference'!$A$6:$A$1174,Z30)))))</f>
        <v>SPISPX</v>
      </c>
      <c r="Z30" s="499" t="n">
        <f aca="false">IF(ISERROR(MATCH(A30,'liste reference'!$A$6:$A$1174,0)),IF(ISERROR(MATCH(A30,'liste reference'!$B$6:$B$1174,0)),"",(MATCH(A30,'liste reference'!$B$6:$B$1174,0))),(MATCH(A30,'liste reference'!$A$6:$A$1174,0)))</f>
        <v>102</v>
      </c>
    </row>
    <row r="31" customFormat="false" ht="12.75" hidden="false" customHeight="false" outlineLevel="0" collapsed="false">
      <c r="A31" s="518" t="s">
        <v>346</v>
      </c>
      <c r="B31" s="519" t="n">
        <v>0.03</v>
      </c>
      <c r="C31" s="520"/>
      <c r="D31" s="521" t="str">
        <f aca="false">IF(ISERROR(VLOOKUP($A31,'liste reference'!$A$6:$B$1174,2,0)),IF(ISERROR(VLOOKUP($A31,'liste reference'!$B$6:$B$1174,1,0)),"",VLOOKUP($A31,'liste reference'!$B$6:$B$1174,1,0)),VLOOKUP($A31,'liste reference'!$A$6:$B$1174,2,0))</f>
        <v>Stigeoclonium sp. (excep. S. tenue)</v>
      </c>
      <c r="E31" s="522" t="e">
        <f aca="false">IF(D31="",0,VLOOKUP(D31,D$22:D30,1,0))</f>
        <v>#N/A</v>
      </c>
      <c r="F31" s="523" t="n">
        <f aca="false">IF(AND(OR(A31="",A31="!!!!!!"),B31="",C31=""),"",IF(OR(AND(B31="",C31=""),ISERROR(C31+B31)),"!!!",($B31*$B$7+$C31*$C$7)/100))</f>
        <v>0.0231</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13</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Stigeoclonium sp. (excep. S. tenue)</v>
      </c>
      <c r="M31" s="527"/>
      <c r="N31" s="527"/>
      <c r="O31" s="527"/>
      <c r="P31" s="528" t="s">
        <v>3463</v>
      </c>
      <c r="Q31" s="529" t="n">
        <f aca="false">IF(OR($A31="NEWCOD",$A31="!!!!!!"),IF(X31="","NoCod",X31),IF($A31="","",IF(ISERROR(VLOOKUP($A31,'liste reference'!$A$6:$H$1174,8,FALSE())),IF(ISERROR(VLOOKUP($A31,'liste reference'!$B$6:$H$1174,7,FALSE())),"",VLOOKUP($A31,'liste reference'!$B$6:$H$1174,7,FALSE())),VLOOKUP($A31,'liste reference'!$A$6:$H$1174,8,FALSE()))))</f>
        <v>1119</v>
      </c>
      <c r="R31" s="513" t="n">
        <f aca="false">IF(ISTEXT(H31),"",(B31*$B$7/100)+(C31*$C$7/100))</f>
        <v>0.0231</v>
      </c>
      <c r="S31" s="514" t="n">
        <f aca="false">IF(OR(ISTEXT(H31),R31=0),"",IF(R31&lt;0.1,1,IF(R31&lt;1,2,IF(R31&lt;10,3,IF(R31&lt;50,4,IF(R31&gt;=50,5,""))))))</f>
        <v>1</v>
      </c>
      <c r="T31" s="514" t="n">
        <f aca="false">IF(ISERROR(S31*J31),0,S31*J31)</f>
        <v>13</v>
      </c>
      <c r="U31" s="514" t="n">
        <f aca="false">IF(ISERROR(S31*J31*K31),0,S31*J31*K31)</f>
        <v>26</v>
      </c>
      <c r="V31" s="530" t="n">
        <f aca="false">IF(ISERROR(S31*K31),0,S31*K31)</f>
        <v>2</v>
      </c>
      <c r="W31" s="531"/>
      <c r="X31" s="532"/>
      <c r="Y31" s="517" t="str">
        <f aca="false">IF(AND(ISNUMBER(F31),OR(A31="",A31="!!!!!!")),"!!!!!!",IF(A31="new.cod","NEWCOD",IF(AND((Z31=""),ISTEXT(A31),A31&lt;&gt;"!!!!!!"),A31,IF(Z31="","",INDEX('liste reference'!$A$6:$A$1174,Z31)))))</f>
        <v>STISPX</v>
      </c>
      <c r="Z31" s="499" t="n">
        <f aca="false">IF(ISERROR(MATCH(A31,'liste reference'!$A$6:$A$1174,0)),IF(ISERROR(MATCH(A31,'liste reference'!$B$6:$B$1174,0)),"",(MATCH(A31,'liste reference'!$B$6:$B$1174,0))),(MATCH(A31,'liste reference'!$A$6:$A$1174,0)))</f>
        <v>104</v>
      </c>
    </row>
    <row r="32" customFormat="false" ht="12.75" hidden="false" customHeight="false" outlineLevel="0" collapsed="false">
      <c r="A32" s="518" t="s">
        <v>374</v>
      </c>
      <c r="B32" s="519" t="n">
        <v>0.005</v>
      </c>
      <c r="C32" s="520"/>
      <c r="D32" s="521" t="str">
        <f aca="false">IF(ISERROR(VLOOKUP($A32,'liste reference'!$A$6:$B$1174,2,0)),IF(ISERROR(VLOOKUP($A32,'liste reference'!$B$6:$B$1174,1,0)),"",VLOOKUP($A32,'liste reference'!$B$6:$B$1174,1,0)),VLOOKUP($A32,'liste reference'!$A$6:$B$1174,2,0))</f>
        <v>Tolypothrix sp.</v>
      </c>
      <c r="E32" s="522" t="e">
        <f aca="false">IF(D32="",0,VLOOKUP(D32,D$22:D31,1,0))</f>
        <v>#N/A</v>
      </c>
      <c r="F32" s="523" t="n">
        <f aca="false">IF(AND(OR(A32="",A32="!!!!!!"),B32="",C32=""),"",IF(OR(AND(B32="",C32=""),ISERROR(C32+B32)),"!!!",($B32*$B$7+$C32*$C$7)/100))</f>
        <v>0.00385</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Tolypothrix sp.</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6304</v>
      </c>
      <c r="R32" s="513" t="n">
        <f aca="false">IF(ISTEXT(H32),"",(B32*$B$7/100)+(C32*$C$7/100))</f>
        <v>0.00385</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TOYSPX</v>
      </c>
      <c r="Z32" s="499" t="n">
        <f aca="false">IF(ISERROR(MATCH(A32,'liste reference'!$A$6:$A$1174,0)),IF(ISERROR(MATCH(A32,'liste reference'!$B$6:$B$1174,0)),"",(MATCH(A32,'liste reference'!$B$6:$B$1174,0))),(MATCH(A32,'liste reference'!$A$6:$A$1174,0)))</f>
        <v>113</v>
      </c>
    </row>
    <row r="33" customFormat="false" ht="12.75" hidden="false" customHeight="false" outlineLevel="0" collapsed="false">
      <c r="A33" s="518" t="s">
        <v>892</v>
      </c>
      <c r="B33" s="519" t="n">
        <v>0.005</v>
      </c>
      <c r="C33" s="520"/>
      <c r="D33" s="521" t="str">
        <f aca="false">IF(ISERROR(VLOOKUP($A33,'liste reference'!$A$6:$B$1174,2,0)),IF(ISERROR(VLOOKUP($A33,'liste reference'!$B$6:$B$1174,1,0)),"",VLOOKUP($A33,'liste reference'!$B$6:$B$1174,1,0)),VLOOKUP($A33,'liste reference'!$A$6:$B$1174,2,0))</f>
        <v>Fontinalis hypnoides var. duriaei</v>
      </c>
      <c r="E33" s="522" t="e">
        <f aca="false">IF(D33="",0,VLOOKUP(D33,D$22:D32,1,0))</f>
        <v>#N/A</v>
      </c>
      <c r="F33" s="523" t="n">
        <f aca="false">IF(AND(OR(A33="",A33="!!!!!!"),B33="",C33=""),"",IF(OR(AND(B33="",C33=""),ISERROR(C33+B33)),"!!!",($B33*$B$7+$C33*$C$7)/100))</f>
        <v>0.00385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14</v>
      </c>
      <c r="K33" s="526" t="n">
        <f aca="false">IF(ISNUMBER($H33),IF(ISERROR(VLOOKUP($A33,'liste reference'!$A$6:$Q$1174,7,0)),IF(ISERROR(VLOOKUP($A33,'liste reference'!$B$6:$Q$1174,6,0)),"nu",VLOOKUP($A33,'liste reference'!$B$6:$Q$1174,6,0)),VLOOKUP($A33,'liste reference'!$A$6:$Q$1174,7,0)),"nu")</f>
        <v>3</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Fontinalis hypnoides var. duriaei</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10215</v>
      </c>
      <c r="R33" s="513" t="n">
        <f aca="false">IF(ISTEXT(H33),"",(B33*$B$7/100)+(C33*$C$7/100))</f>
        <v>0.00385</v>
      </c>
      <c r="S33" s="514" t="n">
        <f aca="false">IF(OR(ISTEXT(H33),R33=0),"",IF(R33&lt;0.1,1,IF(R33&lt;1,2,IF(R33&lt;10,3,IF(R33&lt;50,4,IF(R33&gt;=50,5,""))))))</f>
        <v>1</v>
      </c>
      <c r="T33" s="514" t="n">
        <f aca="false">IF(ISERROR(S33*J33),0,S33*J33)</f>
        <v>14</v>
      </c>
      <c r="U33" s="514" t="n">
        <f aca="false">IF(ISERROR(S33*J33*K33),0,S33*J33*K33)</f>
        <v>42</v>
      </c>
      <c r="V33" s="530" t="n">
        <f aca="false">IF(ISERROR(S33*K33),0,S33*K33)</f>
        <v>3</v>
      </c>
      <c r="W33" s="531"/>
      <c r="X33" s="532"/>
      <c r="Y33" s="517" t="str">
        <f aca="false">IF(AND(ISNUMBER(F33),OR(A33="",A33="!!!!!!")),"!!!!!!",IF(A33="new.cod","NEWCOD",IF(AND((Z33=""),ISTEXT(A33),A33&lt;&gt;"!!!!!!"),A33,IF(Z33="","",INDEX('liste reference'!$A$6:$A$1174,Z33)))))</f>
        <v>FONHYD</v>
      </c>
      <c r="Z33" s="499" t="n">
        <f aca="false">IF(ISERROR(MATCH(A33,'liste reference'!$A$6:$A$1174,0)),IF(ISERROR(MATCH(A33,'liste reference'!$B$6:$B$1174,0)),"",(MATCH(A33,'liste reference'!$B$6:$B$1174,0))),(MATCH(A33,'liste reference'!$A$6:$A$1174,0)))</f>
        <v>275</v>
      </c>
    </row>
    <row r="34" customFormat="false" ht="12.75" hidden="false" customHeight="false" outlineLevel="0" collapsed="false">
      <c r="A34" s="518" t="s">
        <v>1253</v>
      </c>
      <c r="B34" s="519" t="n">
        <v>0.001</v>
      </c>
      <c r="C34" s="520" t="n">
        <v>0.005</v>
      </c>
      <c r="D34" s="521" t="str">
        <f aca="false">IF(ISERROR(VLOOKUP($A34,'liste reference'!$A$6:$B$1174,2,0)),IF(ISERROR(VLOOKUP($A34,'liste reference'!$B$6:$B$1174,1,0)),"",VLOOKUP($A34,'liste reference'!$B$6:$B$1174,1,0)),VLOOKUP($A34,'liste reference'!$A$6:$B$1174,2,0))</f>
        <v>Equisetum arvense</v>
      </c>
      <c r="E34" s="522" t="e">
        <f aca="false">IF(D34="",0,VLOOKUP(D34,D$22:D33,1,0))</f>
        <v>#N/A</v>
      </c>
      <c r="F34" s="523" t="n">
        <f aca="false">IF(AND(OR(A34="",A34="!!!!!!"),B34="",C34=""),"",IF(OR(AND(B34="",C34=""),ISERROR(C34+B34)),"!!!",($B34*$B$7+$C34*$C$7)/100))</f>
        <v>0.00192</v>
      </c>
      <c r="G34" s="524" t="str">
        <f aca="false">IF(A34="","",IF(ISERROR(VLOOKUP($A34,'liste reference'!$A$6:$Q$1174,9,0)),IF(ISERROR(VLOOKUP($A34,'liste reference'!$B$6:$Q$1174,8,0)),"    -",VLOOKUP($A34,'liste reference'!$B$6:$Q$1174,8,0)),VLOOKUP($A34,'liste reference'!$A$6:$Q$1174,9,0)))</f>
        <v>PTE</v>
      </c>
      <c r="H34" s="525" t="n">
        <f aca="false">IF(A34="","x",IF(ISERROR(VLOOKUP($A34,'liste reference'!$A$6:$Q$1174,10,0)),IF(ISERROR(VLOOKUP($A34,'liste reference'!$B$6:$Q$1174,9,0)),"x",VLOOKUP($A34,'liste reference'!$B$6:$Q$1174,9,0)),VLOOKUP($A34,'liste reference'!$A$6:$Q$1174,10,0)))</f>
        <v>6</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Equisetum arvense</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1384</v>
      </c>
      <c r="R34" s="513" t="n">
        <f aca="false">IF(ISTEXT(H34),"",(B34*$B$7/100)+(C34*$C$7/100))</f>
        <v>0.00192</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EQUARV</v>
      </c>
      <c r="Z34" s="499" t="n">
        <f aca="false">IF(ISERROR(MATCH(A34,'liste reference'!$A$6:$A$1174,0)),IF(ISERROR(MATCH(A34,'liste reference'!$B$6:$B$1174,0)),"",(MATCH(A34,'liste reference'!$B$6:$B$1174,0))),(MATCH(A34,'liste reference'!$A$6:$A$1174,0)))</f>
        <v>385</v>
      </c>
    </row>
    <row r="35" customFormat="false" ht="12.75" hidden="false" customHeight="false" outlineLevel="0" collapsed="false">
      <c r="A35" s="518" t="s">
        <v>1268</v>
      </c>
      <c r="B35" s="519"/>
      <c r="C35" s="520" t="n">
        <v>0.005</v>
      </c>
      <c r="D35" s="521" t="str">
        <f aca="false">IF(ISERROR(VLOOKUP($A35,'liste reference'!$A$6:$B$1174,2,0)),IF(ISERROR(VLOOKUP($A35,'liste reference'!$B$6:$B$1174,1,0)),"",VLOOKUP($A35,'liste reference'!$B$6:$B$1174,1,0)),VLOOKUP($A35,'liste reference'!$A$6:$B$1174,2,0))</f>
        <v>Equisetum ramosissimum</v>
      </c>
      <c r="E35" s="522" t="e">
        <f aca="false">IF(D35="",0,VLOOKUP(D35,D$22:D34,1,0))</f>
        <v>#N/A</v>
      </c>
      <c r="F35" s="523" t="n">
        <f aca="false">IF(AND(OR(A35="",A35="!!!!!!"),B35="",C35=""),"",IF(OR(AND(B35="",C35=""),ISERROR(C35+B35)),"!!!",($B35*$B$7+$C35*$C$7)/100))</f>
        <v>0.00115</v>
      </c>
      <c r="G35" s="524" t="str">
        <f aca="false">IF(A35="","",IF(ISERROR(VLOOKUP($A35,'liste reference'!$A$6:$Q$1174,9,0)),IF(ISERROR(VLOOKUP($A35,'liste reference'!$B$6:$Q$1174,8,0)),"    -",VLOOKUP($A35,'liste reference'!$B$6:$Q$1174,8,0)),VLOOKUP($A35,'liste reference'!$A$6:$Q$1174,9,0)))</f>
        <v>PTE</v>
      </c>
      <c r="H35" s="525" t="n">
        <f aca="false">IF(A35="","x",IF(ISERROR(VLOOKUP($A35,'liste reference'!$A$6:$Q$1174,10,0)),IF(ISERROR(VLOOKUP($A35,'liste reference'!$B$6:$Q$1174,9,0)),"x",VLOOKUP($A35,'liste reference'!$B$6:$Q$1174,9,0)),VLOOKUP($A35,'liste reference'!$A$6:$Q$1174,10,0)))</f>
        <v>6</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Equisetum ramosissimum</v>
      </c>
      <c r="M35" s="533"/>
      <c r="N35" s="533"/>
      <c r="O35" s="533"/>
      <c r="P35" s="528" t="s">
        <v>3442</v>
      </c>
      <c r="Q35" s="529" t="n">
        <f aca="false">IF(OR($A35="NEWCOD",$A35="!!!!!!"),IF(X35="","NoCod",X35),IF($A35="","",IF(ISERROR(VLOOKUP($A35,'liste reference'!$A$6:$H$1174,8,FALSE())),IF(ISERROR(VLOOKUP($A35,'liste reference'!$B$6:$H$1174,7,FALSE())),"",VLOOKUP($A35,'liste reference'!$B$6:$H$1174,7,FALSE())),VLOOKUP($A35,'liste reference'!$A$6:$H$1174,8,FALSE()))))</f>
        <v>29992</v>
      </c>
      <c r="R35" s="513" t="n">
        <f aca="false">IF(ISTEXT(H35),"",(B35*$B$7/100)+(C35*$C$7/100))</f>
        <v>0.00115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EQURAM</v>
      </c>
      <c r="Z35" s="499" t="n">
        <f aca="false">IF(ISERROR(MATCH(A35,'liste reference'!$A$6:$A$1174,0)),IF(ISERROR(MATCH(A35,'liste reference'!$B$6:$B$1174,0)),"",(MATCH(A35,'liste reference'!$B$6:$B$1174,0))),(MATCH(A35,'liste reference'!$A$6:$A$1174,0)))</f>
        <v>390</v>
      </c>
    </row>
    <row r="36" customFormat="false" ht="12.75" hidden="false" customHeight="false" outlineLevel="0" collapsed="false">
      <c r="A36" s="518" t="s">
        <v>1679</v>
      </c>
      <c r="B36" s="519" t="n">
        <v>0.1</v>
      </c>
      <c r="C36" s="520"/>
      <c r="D36" s="521" t="str">
        <f aca="false">IF(ISERROR(VLOOKUP($A36,'liste reference'!$A$6:$B$1174,2,0)),IF(ISERROR(VLOOKUP($A36,'liste reference'!$B$6:$B$1174,1,0)),"",VLOOKUP($A36,'liste reference'!$B$6:$B$1174,1,0)),VLOOKUP($A36,'liste reference'!$A$6:$B$1174,2,0))</f>
        <v>Potamogeton nodosus</v>
      </c>
      <c r="E36" s="522" t="e">
        <f aca="false">IF(D36="",0,VLOOKUP(D36,D$22:D35,1,0))</f>
        <v>#N/A</v>
      </c>
      <c r="F36" s="523" t="n">
        <f aca="false">IF(AND(OR(A36="",A36="!!!!!!"),B36="",C36=""),"",IF(OR(AND(B36="",C36=""),ISERROR(C36+B36)),"!!!",($B36*$B$7+$C36*$C$7)/100))</f>
        <v>0.077</v>
      </c>
      <c r="G36" s="524" t="str">
        <f aca="false">IF(A36="","",IF(ISERROR(VLOOKUP($A36,'liste reference'!$A$6:$Q$1174,9,0)),IF(ISERROR(VLOOKUP($A36,'liste reference'!$B$6:$Q$1174,8,0)),"    -",VLOOKUP($A36,'liste reference'!$B$6:$Q$1174,8,0)),VLOOKUP($A36,'liste reference'!$A$6:$Q$1174,9,0)))</f>
        <v>PHy</v>
      </c>
      <c r="H36" s="525" t="n">
        <f aca="false">IF(A36="","x",IF(ISERROR(VLOOKUP($A36,'liste reference'!$A$6:$Q$1174,10,0)),IF(ISERROR(VLOOKUP($A36,'liste reference'!$B$6:$Q$1174,9,0)),"x",VLOOKUP($A36,'liste reference'!$B$6:$Q$1174,9,0)),VLOOKUP($A36,'liste reference'!$A$6:$Q$1174,10,0)))</f>
        <v>7</v>
      </c>
      <c r="I36" s="309" t="n">
        <f aca="false">IF(A36="","",1)</f>
        <v>1</v>
      </c>
      <c r="J36" s="526" t="n">
        <f aca="false">IF(ISNUMBER($H36),IF(ISERROR(VLOOKUP($A36,'liste reference'!$A$6:$Q$1174,6,0)),IF(ISERROR(VLOOKUP($A36,'liste reference'!$B$6:$Q$1174,5,0)),"nu",VLOOKUP($A36,'liste reference'!$B$6:$Q$1174,5,0)),VLOOKUP($A36,'liste reference'!$A$6:$Q$1174,6,0)),"nu")</f>
        <v>4</v>
      </c>
      <c r="K36" s="526" t="n">
        <f aca="false">IF(ISNUMBER($H36),IF(ISERROR(VLOOKUP($A36,'liste reference'!$A$6:$Q$1174,7,0)),IF(ISERROR(VLOOKUP($A36,'liste reference'!$B$6:$Q$1174,6,0)),"nu",VLOOKUP($A36,'liste reference'!$B$6:$Q$1174,6,0)),VLOOKUP($A36,'liste reference'!$A$6:$Q$1174,7,0)),"nu")</f>
        <v>3</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Potamogeton nodosus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1652</v>
      </c>
      <c r="R36" s="513" t="n">
        <f aca="false">IF(ISTEXT(H36),"",(B36*$B$7/100)+(C36*$C$7/100))</f>
        <v>0.077</v>
      </c>
      <c r="S36" s="514" t="n">
        <f aca="false">IF(OR(ISTEXT(H36),R36=0),"",IF(R36&lt;0.1,1,IF(R36&lt;1,2,IF(R36&lt;10,3,IF(R36&lt;50,4,IF(R36&gt;=50,5,""))))))</f>
        <v>1</v>
      </c>
      <c r="T36" s="514" t="n">
        <f aca="false">IF(ISERROR(S36*J36),0,S36*J36)</f>
        <v>4</v>
      </c>
      <c r="U36" s="514" t="n">
        <f aca="false">IF(ISERROR(S36*J36*K36),0,S36*J36*K36)</f>
        <v>12</v>
      </c>
      <c r="V36" s="530" t="n">
        <f aca="false">IF(ISERROR(S36*K36),0,S36*K36)</f>
        <v>3</v>
      </c>
      <c r="W36" s="531"/>
      <c r="X36" s="532"/>
      <c r="Y36" s="517" t="str">
        <f aca="false">IF(AND(ISNUMBER(F36),OR(A36="",A36="!!!!!!")),"!!!!!!",IF(A36="new.cod","NEWCOD",IF(AND((Z36=""),ISTEXT(A36),A36&lt;&gt;"!!!!!!"),A36,IF(Z36="","",INDEX('liste reference'!$A$6:$A$1174,Z36)))))</f>
        <v>POTNOD</v>
      </c>
      <c r="Z36" s="499" t="n">
        <f aca="false">IF(ISERROR(MATCH(A36,'liste reference'!$A$6:$A$1174,0)),IF(ISERROR(MATCH(A36,'liste reference'!$B$6:$B$1174,0)),"",(MATCH(A36,'liste reference'!$B$6:$B$1174,0))),(MATCH(A36,'liste reference'!$A$6:$A$1174,0)))</f>
        <v>530</v>
      </c>
    </row>
    <row r="37" customFormat="false" ht="12.75" hidden="false" customHeight="false" outlineLevel="0" collapsed="false">
      <c r="A37" s="518" t="s">
        <v>2477</v>
      </c>
      <c r="B37" s="519" t="n">
        <v>0.005</v>
      </c>
      <c r="C37" s="520" t="n">
        <v>0.01</v>
      </c>
      <c r="D37" s="521" t="str">
        <f aca="false">IF(ISERROR(VLOOKUP($A37,'liste reference'!$A$6:$B$1174,2,0)),IF(ISERROR(VLOOKUP($A37,'liste reference'!$B$6:$B$1174,1,0)),"",VLOOKUP($A37,'liste reference'!$B$6:$B$1174,1,0)),VLOOKUP($A37,'liste reference'!$A$6:$B$1174,2,0))</f>
        <v>Cyperus longus</v>
      </c>
      <c r="E37" s="522" t="e">
        <f aca="false">IF(D37="",0,VLOOKUP(D37,D$22:D36,1,0))</f>
        <v>#N/A</v>
      </c>
      <c r="F37" s="523" t="n">
        <f aca="false">IF(AND(OR(A37="",A37="!!!!!!"),B37="",C37=""),"",IF(OR(AND(B37="",C37=""),ISERROR(C37+B37)),"!!!",($B37*$B$7+$C37*$C$7)/100))</f>
        <v>0.00615</v>
      </c>
      <c r="G37" s="524" t="str">
        <f aca="false">IF(A37="","",IF(ISERROR(VLOOKUP($A37,'liste reference'!$A$6:$Q$1174,9,0)),IF(ISERROR(VLOOKUP($A37,'liste reference'!$B$6:$Q$1174,8,0)),"    -",VLOOKUP($A37,'liste reference'!$B$6:$Q$1174,8,0)),VLOOKUP($A37,'liste reference'!$A$6:$Q$1174,9,0)))</f>
        <v>PHg</v>
      </c>
      <c r="H37" s="525" t="n">
        <f aca="false">IF(A37="","x",IF(ISERROR(VLOOKUP($A37,'liste reference'!$A$6:$Q$1174,10,0)),IF(ISERROR(VLOOKUP($A37,'liste reference'!$B$6:$Q$1174,9,0)),"x",VLOOKUP($A37,'liste reference'!$B$6:$Q$1174,9,0)),VLOOKUP($A37,'liste reference'!$A$6:$Q$1174,10,0)))</f>
        <v>9</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Cyperus longus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1500</v>
      </c>
      <c r="R37" s="513" t="n">
        <f aca="false">IF(ISTEXT(H37),"",(B37*$B$7/100)+(C37*$C$7/100))</f>
        <v>0.00615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CYPLON</v>
      </c>
      <c r="Z37" s="499" t="n">
        <f aca="false">IF(ISERROR(MATCH(A37,'liste reference'!$A$6:$A$1174,0)),IF(ISERROR(MATCH(A37,'liste reference'!$B$6:$B$1174,0)),"",(MATCH(A37,'liste reference'!$B$6:$B$1174,0))),(MATCH(A37,'liste reference'!$A$6:$A$1174,0)))</f>
        <v>825</v>
      </c>
    </row>
    <row r="38" customFormat="false" ht="12.75" hidden="false" customHeight="false" outlineLevel="0" collapsed="false">
      <c r="A38" s="518" t="s">
        <v>2756</v>
      </c>
      <c r="B38" s="519" t="n">
        <v>0.005</v>
      </c>
      <c r="C38" s="520"/>
      <c r="D38" s="521" t="str">
        <f aca="false">IF(ISERROR(VLOOKUP($A38,'liste reference'!$A$6:$B$1174,2,0)),IF(ISERROR(VLOOKUP($A38,'liste reference'!$B$6:$B$1174,1,0)),"",VLOOKUP($A38,'liste reference'!$B$6:$B$1174,1,0)),VLOOKUP($A38,'liste reference'!$A$6:$B$1174,2,0))</f>
        <v>Paspalum distichum</v>
      </c>
      <c r="E38" s="522" t="e">
        <f aca="false">IF(D38="",0,VLOOKUP(D38,D$22:D37,1,0))</f>
        <v>#N/A</v>
      </c>
      <c r="F38" s="523" t="n">
        <f aca="false">IF(AND(OR(A38="",A38="!!!!!!"),B38="",C38=""),"",IF(OR(AND(B38="",C38=""),ISERROR(C38+B38)),"!!!",($B38*$B$7+$C38*$C$7)/100))</f>
        <v>0.00385</v>
      </c>
      <c r="G38" s="524" t="str">
        <f aca="false">IF(A38="","",IF(ISERROR(VLOOKUP($A38,'liste reference'!$A$6:$Q$1174,9,0)),IF(ISERROR(VLOOKUP($A38,'liste reference'!$B$6:$Q$1174,8,0)),"    -",VLOOKUP($A38,'liste reference'!$B$6:$Q$1174,8,0)),VLOOKUP($A38,'liste reference'!$A$6:$Q$1174,9,0)))</f>
        <v>PHg</v>
      </c>
      <c r="H38" s="525" t="n">
        <f aca="false">IF(A38="","x",IF(ISERROR(VLOOKUP($A38,'liste reference'!$A$6:$Q$1174,10,0)),IF(ISERROR(VLOOKUP($A38,'liste reference'!$B$6:$Q$1174,9,0)),"x",VLOOKUP($A38,'liste reference'!$B$6:$Q$1174,9,0)),VLOOKUP($A38,'liste reference'!$A$6:$Q$1174,10,0)))</f>
        <v>9</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Paspalum distichum</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10237</v>
      </c>
      <c r="R38" s="513" t="n">
        <f aca="false">IF(ISTEXT(H38),"",(B38*$B$7/100)+(C38*$C$7/100))</f>
        <v>0.00385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PASDIS</v>
      </c>
      <c r="Z38" s="499" t="n">
        <f aca="false">IF(ISERROR(MATCH(A38,'liste reference'!$A$6:$A$1174,0)),IF(ISERROR(MATCH(A38,'liste reference'!$B$6:$B$1174,0)),"",(MATCH(A38,'liste reference'!$B$6:$B$1174,0))),(MATCH(A38,'liste reference'!$A$6:$A$1174,0)))</f>
        <v>922</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33"/>
      <c r="N53" s="533"/>
      <c r="O53" s="533"/>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2.87462</v>
      </c>
      <c r="G83" s="452"/>
      <c r="H83" s="452"/>
      <c r="I83" s="452"/>
      <c r="J83" s="452"/>
      <c r="K83" s="452"/>
      <c r="L83" s="452"/>
      <c r="M83" s="514"/>
      <c r="N83" s="514"/>
      <c r="O83" s="514"/>
      <c r="P83" s="514"/>
      <c r="Q83" s="514"/>
      <c r="R83" s="514"/>
      <c r="S83" s="514"/>
      <c r="T83" s="514"/>
      <c r="U83" s="514"/>
      <c r="V83" s="514" t="n">
        <f aca="false">SUM(V23:V82)</f>
        <v>25</v>
      </c>
      <c r="W83" s="514"/>
      <c r="X83" s="552"/>
      <c r="Y83" s="552"/>
      <c r="Z83" s="553"/>
    </row>
    <row r="84" customFormat="false" ht="12.75" hidden="true" customHeight="false" outlineLevel="0" collapsed="false">
      <c r="A84" s="547" t="str">
        <f aca="false">A3</f>
        <v>TAVIGNANO</v>
      </c>
      <c r="B84" s="481" t="str">
        <f aca="false">C3</f>
        <v>Antisanti</v>
      </c>
      <c r="C84" s="554" t="str">
        <f aca="false">A4</f>
        <v>(Date)</v>
      </c>
      <c r="D84" s="555" t="n">
        <f aca="false">IF(OR(ISERROR(SUM($U$23:$U$82)/SUM($V$23:$V$82)),F7&lt;&gt;100),-1,SUM($U$23:$U$82)/SUM($V$23:$V$82))</f>
        <v>9.64</v>
      </c>
      <c r="E84" s="556" t="n">
        <f aca="false">O13</f>
        <v>16</v>
      </c>
      <c r="F84" s="481" t="n">
        <f aca="false">O14</f>
        <v>11</v>
      </c>
      <c r="G84" s="481" t="n">
        <f aca="false">O15</f>
        <v>4</v>
      </c>
      <c r="H84" s="481" t="n">
        <f aca="false">O16</f>
        <v>5</v>
      </c>
      <c r="I84" s="481" t="n">
        <f aca="false">O17</f>
        <v>2</v>
      </c>
      <c r="J84" s="557" t="n">
        <f aca="false">O8</f>
        <v>10.1818181818182</v>
      </c>
      <c r="K84" s="558" t="n">
        <f aca="false">O9</f>
        <v>3.45932683462554</v>
      </c>
      <c r="L84" s="559" t="n">
        <f aca="false">O10</f>
        <v>4</v>
      </c>
      <c r="M84" s="559" t="n">
        <f aca="false">O11</f>
        <v>15</v>
      </c>
      <c r="N84" s="558" t="n">
        <f aca="false">P8</f>
        <v>1.81818181818182</v>
      </c>
      <c r="O84" s="558" t="n">
        <f aca="false">P9</f>
        <v>0.715818897637437</v>
      </c>
      <c r="P84" s="559" t="n">
        <f aca="false">P10</f>
        <v>1</v>
      </c>
      <c r="Q84" s="559" t="n">
        <f aca="false">P11</f>
        <v>3</v>
      </c>
      <c r="R84" s="559" t="n">
        <f aca="false">F21</f>
        <v>2.87462</v>
      </c>
      <c r="S84" s="559" t="n">
        <f aca="false">L11</f>
        <v>0</v>
      </c>
      <c r="T84" s="559" t="n">
        <f aca="false">L12</f>
        <v>10</v>
      </c>
      <c r="U84" s="559" t="n">
        <f aca="false">L13</f>
        <v>1</v>
      </c>
      <c r="V84" s="560" t="n">
        <f aca="false">L15</f>
        <v>3</v>
      </c>
      <c r="W84" s="561" t="n">
        <f aca="false">L15</f>
        <v>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12</v>
      </c>
      <c r="U87" s="309"/>
      <c r="V87" s="309"/>
    </row>
    <row r="88" customFormat="false" ht="12.75" hidden="true" customHeight="false" outlineLevel="0" collapsed="false">
      <c r="C88" s="563"/>
      <c r="D88" s="563"/>
      <c r="E88" s="563"/>
      <c r="R88" s="309" t="s">
        <v>3445</v>
      </c>
      <c r="S88" s="309"/>
      <c r="T88" s="565" t="n">
        <f aca="false">VLOOKUP($T$91,($A$23:$U$82),21,FALSE())</f>
        <v>24</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10.3333333333333</v>
      </c>
      <c r="U90" s="309" t="n">
        <f aca="false">IF(ISERROR(T90),0,1)</f>
        <v>1</v>
      </c>
    </row>
    <row r="91" customFormat="false" ht="12.75" hidden="true" customHeight="false" outlineLevel="0" collapsed="false">
      <c r="C91" s="563"/>
      <c r="D91" s="563"/>
      <c r="E91" s="563"/>
      <c r="R91" s="514" t="s">
        <v>3449</v>
      </c>
      <c r="S91" s="514"/>
      <c r="T91" s="514" t="str">
        <f aca="false">INDEX('liste reference'!$A$6:$A$1174,$U$91)</f>
        <v>OEDSPX</v>
      </c>
      <c r="U91" s="309" t="n">
        <f aca="false">IF(ISERROR(MATCH($T$93,'liste reference'!$A$6:$A$1174,0)),MATCH($T$93,'liste reference'!$B$6:$B$1174,0),(MATCH($T$93,'liste reference'!$A$6:$A$1174,0)))</f>
        <v>85</v>
      </c>
      <c r="V91" s="567"/>
    </row>
    <row r="92" customFormat="false" ht="12.75" hidden="true" customHeight="false" outlineLevel="0" collapsed="false">
      <c r="C92" s="563"/>
      <c r="D92" s="563"/>
      <c r="E92" s="563"/>
      <c r="R92" s="309" t="s">
        <v>3450</v>
      </c>
      <c r="S92" s="309"/>
      <c r="T92" s="309" t="n">
        <f aca="false">MATCH(T89,$V$23:$V$82,0)</f>
        <v>7</v>
      </c>
      <c r="U92" s="309"/>
    </row>
    <row r="93" customFormat="false" ht="12.75" hidden="true" customHeight="false" outlineLevel="0" collapsed="false">
      <c r="C93" s="563"/>
      <c r="D93" s="563"/>
      <c r="E93" s="563"/>
      <c r="R93" s="514" t="s">
        <v>3451</v>
      </c>
      <c r="S93" s="309"/>
      <c r="T93" s="514" t="str">
        <f aca="false">INDEX($A$23:$A$82,$T$92)</f>
        <v>OEDSPX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3476</v>
      </c>
      <c r="G20" s="8"/>
      <c r="H20" s="605" t="s">
        <v>3476</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3486</v>
      </c>
    </row>
    <row r="39" customFormat="false" ht="15" hidden="false" customHeight="false" outlineLevel="0" collapsed="false">
      <c r="A39" s="594" t="s">
        <v>2980</v>
      </c>
      <c r="B39" s="596" t="s">
        <v>2981</v>
      </c>
      <c r="C39" s="597"/>
      <c r="D39" s="598"/>
      <c r="F39" s="613" t="s">
        <v>3462</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2016-04-13T14:20:48Z</dcterms:modified>
  <cp:revision>0</cp:revision>
  <dc:subject/>
  <dc:title>Feuille d'aide au calcul de l'IBMR</dc:title>
</cp:coreProperties>
</file>