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iamone a Murzo" sheetId="7" state="visible" r:id="rId9"/>
    <sheet name="liste codes réf" sheetId="8" state="hidden" r:id="rId10"/>
  </sheets>
  <definedNames>
    <definedName function="false" hidden="false" localSheetId="6" name="_xlnm.Print_Area" vbProcedure="false">'Liamone a Murzo'!$A$1:$Q$82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'Liamone a Murzo'!$A$1:$C$1415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<sst xmlns="http://schemas.openxmlformats.org/spreadsheetml/2006/main" count="9998" uniqueCount="3494">
  <si>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</si>
  <si>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</si>
  <si>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</si>
  <si>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</si>
  <si>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</si>
  <si>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</si>
  <si>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</si>
  <si>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</si>
  <si>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</si>
  <si>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</si>
  <si>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</si>
  <si>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</si>
  <si>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</si>
  <si>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</si>
  <si>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</si>
  <si>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</si>
  <si>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</si>
  <si>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</si>
  <si>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</si>
  <si>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</si>
  <si>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</si>
  <si>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</si>
  <si>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</si>
  <si>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</si>
  <si>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</si>
  <si>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</si>
  <si>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</si>
  <si>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</si>
  <si>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</si>
  <si>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</si>
  <si>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</si>
  <si>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</si>
  <si>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</si>
  <si>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</si>
  <si>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</si>
  <si>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</si>
  <si>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</si>
  <si>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</si>
  <si>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</si>
  <si>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</si>
  <si>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</si>
  <si>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</si>
  <si>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</si>
  <si>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</si>
  <si>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</si>
  <si>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</si>
  <si>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</si>
  <si>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</si>
  <si>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</si>
  <si>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</si>
  <si>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</si>
  <si>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</si>
  <si>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</si>
  <si>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</si>
  <si>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</si>
  <si>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</si>
  <si>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</si>
  <si>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</si>
  <si>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</si>
  <si>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</si>
  <si>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</si>
  <si>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</si>
  <si>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</si>
  <si>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</si>
  <si>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</si>
  <si>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</si>
  <si>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</si>
  <si>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</si>
  <si>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</si>
  <si>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</si>
  <si>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</si>
  <si>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</si>
  <si>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</si>
  <si>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</si>
  <si>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</si>
  <si>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</si>
  <si>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</si>
  <si>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</si>
  <si>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</si>
  <si>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</si>
  <si>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</si>
  <si>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</si>
  <si>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</si>
  <si>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</si>
  <si>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</si>
  <si>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</si>
  <si>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</si>
  <si>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</si>
  <si>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</si>
  <si>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</si>
  <si>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</si>
  <si>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</si>
  <si>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</si>
  <si>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</si>
  <si>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</si>
  <si>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</si>
  <si>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</si>
  <si>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</si>
  <si>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</si>
  <si>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</si>
  <si>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</si>
  <si>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</si>
  <si>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</si>
  <si>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</si>
  <si>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</si>
  <si>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</si>
  <si>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</si>
  <si>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</si>
  <si>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</si>
  <si>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</si>
  <si>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</si>
  <si>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</si>
  <si>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</si>
  <si>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</si>
  <si>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</si>
  <si>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</si>
  <si>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</si>
  <si>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</si>
  <si>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</si>
  <si>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</si>
  <si>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</si>
  <si>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</si>
  <si>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</si>
  <si>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</si>
  <si>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</si>
  <si>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</si>
  <si>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</si>
  <si>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</si>
  <si>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</si>
  <si>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</si>
  <si>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</si>
  <si>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</si>
  <si>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</si>
  <si>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</si>
  <si>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</si>
  <si>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</si>
  <si>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</si>
  <si>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</si>
  <si>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</si>
  <si>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</si>
  <si>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</si>
  <si>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</si>
  <si>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</si>
  <si>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</si>
  <si>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</si>
  <si>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</si>
  <si>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</si>
  <si>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</si>
  <si>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</si>
  <si>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</si>
  <si>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</si>
  <si>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</si>
  <si>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</si>
  <si>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</si>
  <si>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</si>
  <si>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</si>
  <si>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</si>
  <si>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</si>
  <si>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</si>
  <si>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</si>
  <si>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</si>
  <si>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</si>
  <si>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</si>
  <si>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</si>
  <si>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</si>
  <si>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</si>
  <si>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</si>
  <si>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</si>
  <si>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</si>
  <si>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</si>
  <si>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</si>
  <si>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</si>
  <si>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</si>
  <si>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</si>
  <si>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</si>
  <si>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</si>
  <si>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</si>
  <si>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</si>
  <si>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</si>
  <si>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</si>
  <si>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</si>
  <si>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</si>
  <si>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</si>
  <si>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</si>
  <si>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</si>
  <si>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</si>
  <si>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</si>
  <si>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</si>
  <si>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</si>
  <si>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</si>
  <si>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</si>
  <si>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</si>
  <si>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</si>
  <si>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</si>
  <si>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</si>
  <si>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</si>
  <si>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</si>
  <si>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</si>
  <si>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</si>
  <si>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</si>
  <si>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</si>
  <si>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</si>
  <si>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</si>
  <si>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</si>
  <si>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</si>
  <si>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</si>
  <si>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</si>
  <si>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</si>
  <si>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</si>
  <si>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</si>
  <si>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</si>
  <si>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</si>
  <si>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</si>
  <si>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</si>
  <si>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</si>
  <si>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</si>
  <si>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</si>
  <si>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</si>
  <si>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</si>
  <si>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</si>
  <si>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</si>
  <si>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</si>
  <si>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</si>
  <si>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</si>
  <si>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</si>
  <si>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</si>
  <si>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</si>
  <si>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</si>
  <si>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</si>
  <si>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</si>
  <si>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</si>
  <si>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</si>
  <si>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</si>
  <si>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</si>
  <si>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</si>
  <si>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</si>
  <si>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</si>
  <si>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</si>
  <si>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</si>
  <si>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</si>
  <si>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</si>
  <si>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</si>
  <si>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</si>
  <si>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</si>
  <si>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</si>
  <si>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</si>
  <si>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</si>
  <si>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</si>
  <si>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</si>
  <si>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</si>
  <si>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</si>
  <si>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</si>
  <si>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</si>
  <si>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</si>
  <si>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</si>
  <si>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</si>
  <si>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</si>
  <si>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</si>
  <si>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</si>
  <si>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</si>
  <si>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</si>
  <si>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</si>
  <si>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</si>
  <si>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</si>
  <si>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</si>
  <si>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</si>
  <si>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</si>
  <si>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</si>
  <si>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</si>
  <si>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</si>
  <si>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</si>
  <si>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</si>
  <si>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</si>
  <si>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</si>
  <si>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</si>
  <si>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</si>
  <si>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</si>
  <si>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</si>
  <si>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</si>
  <si>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</si>
  <si>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</si>
  <si>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</si>
  <si>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</si>
  <si>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</si>
  <si>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</si>
  <si>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</si>
  <si>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</si>
  <si>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</si>
  <si>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</si>
  <si>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</si>
  <si>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</si>
  <si>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</si>
  <si>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</si>
  <si>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</si>
  <si>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</si>
  <si>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</si>
  <si>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</si>
  <si>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</si>
  <si>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</si>
  <si>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</si>
  <si>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</si>
  <si>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</si>
  <si>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</si>
  <si>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</si>
  <si>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</si>
  <si>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</si>
  <si>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</si>
  <si>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</si>
  <si>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</si>
  <si>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</si>
  <si>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</si>
  <si>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</si>
  <si>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</si>
  <si>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</si>
  <si>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</si>
  <si>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</si>
  <si>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</si>
  <si>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</si>
  <si>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</si>
  <si>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</si>
  <si>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</si>
  <si>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</si>
  <si>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</si>
  <si>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</si>
  <si>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</si>
  <si>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</si>
  <si>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</si>
  <si>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</si>
  <si>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</si>
  <si>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</si>
  <si>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</si>
  <si>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</si>
  <si>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</si>
  <si>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</si>
  <si>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</si>
  <si>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</si>
  <si>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</si>
  <si>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</si>
  <si>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</si>
  <si>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</si>
  <si>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</si>
  <si>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</si>
  <si>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</si>
  <si>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</si>
  <si>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</si>
  <si>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</si>
  <si>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</si>
  <si>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</si>
  <si>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</si>
  <si>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</si>
  <si>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</si>
  <si>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</si>
  <si>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</si>
  <si>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</si>
  <si>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</si>
  <si>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</si>
  <si>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</si>
  <si>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</si>
  <si>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</si>
  <si>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</si>
  <si>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</si>
  <si>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</si>
  <si>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</si>
  <si>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</si>
  <si>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</si>
  <si>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</si>
  <si>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</si>
  <si>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</si>
  <si>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</si>
  <si>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</si>
  <si>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</si>
  <si>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</si>
  <si>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</si>
  <si>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</si>
  <si>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</si>
  <si>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</si>
  <si>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</si>
  <si>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</si>
  <si>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</si>
  <si>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</si>
  <si>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</si>
  <si>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</si>
  <si>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</si>
  <si>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</si>
  <si>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</si>
  <si>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</si>
  <si>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</si>
  <si>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</si>
  <si>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</si>
  <si>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</si>
  <si>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</si>
  <si>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</si>
  <si>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</si>
  <si>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</si>
  <si>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</si>
  <si>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</si>
  <si>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</si>
  <si>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</si>
  <si>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</si>
  <si>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</si>
  <si>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</si>
  <si>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</si>
  <si>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</si>
  <si>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</si>
  <si>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</si>
  <si>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</si>
  <si>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</si>
  <si>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</si>
  <si>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</si>
  <si>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</si>
  <si>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</si>
  <si>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</si>
  <si>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</si>
  <si>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</si>
  <si>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</si>
  <si>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</si>
  <si>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</si>
  <si>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</si>
  <si>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</si>
  <si>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</si>
  <si>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</si>
  <si>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</si>
  <si>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</si>
  <si>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</si>
  <si>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</si>
  <si>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</si>
  <si>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</si>
  <si>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</si>
  <si>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</si>
  <si>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</si>
  <si>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</si>
  <si>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</si>
  <si>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</si>
  <si>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</si>
  <si>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</si>
  <si>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</si>
  <si>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</si>
  <si>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</si>
  <si>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</si>
  <si>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</si>
  <si>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</si>
  <si>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</si>
  <si>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</si>
  <si>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</si>
  <si>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</si>
  <si>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</si>
  <si>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</si>
  <si>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</si>
  <si>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</si>
  <si>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</si>
  <si>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</si>
  <si>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</si>
  <si>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</si>
  <si>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</si>
  <si>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</si>
  <si>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</si>
  <si>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</si>
  <si>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</si>
  <si>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</si>
  <si>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</si>
  <si>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</si>
  <si>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</si>
  <si>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</si>
  <si>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</si>
  <si>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</si>
  <si>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</si>
  <si>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</si>
  <si>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</si>
  <si>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</si>
  <si>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</si>
  <si>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</si>
  <si>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</si>
  <si>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</si>
  <si>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</si>
  <si>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</si>
  <si>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</si>
  <si>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</si>
  <si>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</si>
  <si>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</si>
  <si>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</si>
  <si>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</si>
  <si>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</si>
  <si>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</si>
  <si>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</si>
  <si>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</si>
  <si>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</si>
  <si>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</si>
  <si>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</si>
  <si>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</si>
  <si>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</si>
  <si>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</si>
  <si>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</si>
  <si>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</si>
  <si>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</si>
  <si>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</si>
  <si>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</si>
  <si>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</si>
  <si>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</si>
  <si>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</si>
  <si>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</si>
  <si>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</si>
  <si>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</si>
  <si>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</si>
  <si>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</si>
  <si>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</si>
  <si>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</si>
  <si>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</si>
  <si>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</si>
  <si>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</si>
  <si>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</si>
  <si>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</si>
  <si>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</si>
  <si>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</si>
  <si>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</si>
  <si>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</si>
  <si>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</si>
  <si>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</si>
  <si>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</si>
  <si>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</si>
  <si>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</si>
  <si>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</si>
  <si>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</si>
  <si>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</si>
  <si>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</si>
  <si>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</si>
  <si>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</si>
  <si>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</si>
  <si>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</si>
  <si>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</si>
  <si>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</si>
  <si>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</si>
  <si>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</si>
  <si>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</si>
  <si>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</si>
  <si>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</si>
  <si>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</si>
  <si>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</si>
  <si>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</si>
  <si>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</si>
  <si>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</si>
  <si>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</si>
  <si>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</si>
  <si>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</si>
  <si>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</si>
  <si>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</si>
  <si>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</si>
  <si>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</si>
  <si>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</si>
  <si>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</si>
  <si>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</si>
  <si>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</si>
  <si>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</si>
  <si>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</si>
  <si>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</si>
  <si>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</si>
  <si>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</si>
  <si>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</si>
  <si>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</si>
  <si>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</si>
  <si>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</si>
  <si>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</si>
  <si>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</si>
  <si>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</si>
  <si>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</si>
  <si>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</si>
  <si>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</si>
  <si>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</si>
  <si>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</si>
  <si>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</si>
  <si>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</si>
  <si>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</si>
  <si>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</si>
  <si>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</si>
  <si>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</si>
  <si>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</si>
  <si>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</si>
  <si>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</si>
  <si>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</si>
  <si>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</si>
  <si>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</si>
  <si>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</si>
  <si>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</si>
  <si>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</si>
  <si>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</si>
  <si>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</si>
  <si>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</si>
  <si>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</si>
  <si>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</si>
  <si>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</si>
  <si>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</si>
  <si>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</si>
  <si>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</si>
  <si>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</si>
  <si>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</si>
  <si>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</si>
  <si>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</si>
  <si>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</si>
  <si>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</si>
  <si>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</si>
  <si>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</si>
  <si>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</si>
  <si>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</si>
  <si>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</si>
  <si>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</si>
  <si>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</si>
  <si>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</si>
  <si>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</si>
  <si>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</si>
  <si>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</si>
  <si>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</si>
  <si>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</si>
  <si>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</si>
  <si>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</si>
  <si>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</si>
  <si>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</si>
  <si>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</si>
  <si>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</si>
  <si>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</si>
  <si>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</si>
  <si>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</si>
  <si>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</si>
  <si>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</si>
  <si>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</si>
  <si>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</si>
  <si>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</si>
  <si>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</si>
  <si>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</si>
  <si>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</si>
  <si>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</si>
  <si>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</si>
  <si>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</si>
  <si>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</si>
  <si>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</si>
  <si>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</si>
  <si>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</si>
  <si>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</si>
  <si>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</si>
  <si>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</si>
  <si>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</si>
  <si>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</si>
  <si>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</si>
  <si>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</si>
  <si>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</si>
  <si>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</si>
  <si>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</si>
  <si>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</si>
  <si>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</si>
  <si>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</si>
  <si>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</si>
  <si>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</si>
  <si>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</si>
  <si>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</si>
  <si>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</si>
  <si>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</si>
  <si>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</si>
  <si>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</si>
  <si>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</si>
  <si>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</si>
  <si>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</si>
  <si>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</si>
  <si>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</si>
  <si>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</si>
  <si>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</si>
  <si>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</si>
  <si>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</si>
  <si>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</si>
  <si>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</si>
  <si>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</si>
  <si>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</si>
  <si>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</si>
  <si>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</si>
  <si>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</si>
  <si>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</si>
  <si>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</si>
  <si>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</si>
  <si>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</si>
  <si>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</si>
  <si>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</si>
  <si>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</si>
  <si>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</si>
  <si>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</si>
  <si>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</si>
  <si>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</si>
  <si>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</si>
  <si>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</si>
  <si>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</si>
  <si>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</si>
  <si>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</si>
  <si>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</si>
  <si>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</si>
  <si>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</si>
  <si>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</si>
  <si>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</si>
  <si>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</si>
  <si>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</si>
  <si>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</si>
  <si>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</si>
  <si>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</si>
  <si>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</si>
  <si>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</si>
  <si>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</si>
  <si>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</si>
  <si>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</si>
  <si>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</si>
  <si>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</si>
  <si>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</si>
  <si>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</si>
  <si>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</si>
  <si>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</si>
  <si>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</si>
  <si>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</si>
  <si>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</si>
  <si>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</si>
  <si>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</si>
  <si>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</si>
  <si>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</si>
  <si>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</si>
  <si>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</si>
  <si>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</si>
  <si>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</si>
  <si>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</si>
  <si>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</si>
  <si>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</si>
  <si>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</si>
  <si>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</si>
  <si>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</si>
  <si>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</si>
  <si>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</si>
  <si>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</si>
  <si>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</si>
  <si>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</si>
  <si>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</si>
  <si>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</si>
  <si>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</si>
  <si>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</si>
  <si>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</si>
  <si>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</si>
  <si>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</si>
  <si>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</si>
  <si>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</si>
  <si>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</si>
  <si>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</si>
  <si>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</si>
  <si>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</si>
  <si>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</si>
  <si>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</si>
  <si>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</si>
  <si>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</si>
  <si>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</si>
  <si>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</si>
  <si>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</si>
  <si>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</si>
  <si>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</si>
  <si>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</si>
  <si>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</si>
  <si>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</si>
  <si>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</si>
  <si>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</si>
  <si>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</si>
  <si>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</si>
  <si>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</si>
  <si>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</si>
  <si>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</si>
  <si>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</si>
  <si>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</si>
  <si>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</si>
  <si>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</si>
  <si>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</si>
  <si>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</si>
  <si>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</si>
  <si>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</si>
  <si>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</si>
  <si>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</si>
  <si>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</si>
  <si>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</si>
  <si>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</si>
  <si>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</si>
  <si>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</si>
  <si>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</si>
  <si>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</si>
  <si>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</si>
  <si>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</si>
  <si>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</si>
  <si>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</si>
  <si>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</si>
  <si>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</si>
  <si>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</si>
  <si>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</si>
  <si>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</si>
  <si>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</si>
  <si>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</si>
  <si>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</si>
  <si>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</si>
  <si>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</si>
  <si>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</si>
  <si>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</si>
  <si>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</si>
  <si>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</si>
  <si>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</si>
  <si>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</si>
  <si>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</si>
  <si>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</si>
  <si>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</si>
  <si>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</si>
  <si>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</si>
  <si>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</si>
  <si>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</si>
  <si>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</si>
  <si>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</si>
  <si>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</si>
  <si>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</si>
  <si>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</si>
  <si>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</si>
  <si>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</si>
  <si>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</si>
  <si>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</si>
  <si>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</si>
  <si>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</si>
  <si>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</si>
  <si>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</si>
  <si>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</si>
  <si>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</si>
  <si>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</si>
  <si>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</si>
  <si>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</si>
  <si>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</si>
  <si>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</si>
  <si>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</si>
  <si>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</si>
  <si>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</si>
  <si>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</si>
  <si>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</si>
  <si>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</si>
  <si>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</si>
  <si>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</si>
  <si>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</si>
  <si>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</si>
  <si>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</si>
  <si>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</si>
  <si>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</si>
  <si>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</si>
  <si>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</si>
  <si>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</si>
  <si>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</si>
  <si>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</si>
  <si>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</si>
  <si>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</si>
  <si>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</si>
  <si>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</si>
  <si>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</si>
  <si>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</si>
  <si>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</si>
  <si>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</si>
  <si>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</si>
  <si>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</si>
  <si>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</si>
  <si>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</si>
  <si>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</si>
  <si>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</si>
  <si>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</si>
  <si>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</si>
  <si>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</si>
  <si>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</si>
  <si>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</si>
  <si>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</si>
  <si>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</si>
  <si>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</si>
  <si>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</si>
  <si>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</si>
  <si>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</si>
  <si>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</si>
  <si>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</si>
  <si>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</si>
  <si>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</si>
  <si>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</si>
  <si>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</si>
  <si>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</si>
  <si>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</si>
  <si>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</si>
  <si>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</si>
  <si>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</si>
  <si>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</si>
  <si>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</si>
  <si>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</si>
  <si>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</si>
  <si>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</si>
  <si>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</si>
  <si>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</si>
  <si>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</si>
  <si>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</si>
  <si>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</si>
  <si>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</si>
  <si>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</si>
  <si>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</si>
  <si>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</si>
  <si>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</si>
  <si>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</si>
  <si>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</si>
  <si>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</si>
  <si>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</si>
  <si>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</si>
  <si>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</si>
  <si>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</si>
  <si>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</si>
  <si>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</si>
  <si>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</si>
  <si>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</si>
  <si>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</si>
  <si>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</si>
  <si>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</si>
  <si>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</si>
  <si>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</si>
  <si>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</si>
  <si>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</si>
  <si>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</si>
  <si>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</si>
  <si>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</si>
  <si>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</si>
  <si>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</si>
  <si>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</si>
  <si>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</si>
  <si>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</si>
  <si>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</si>
  <si>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</si>
  <si>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</si>
  <si>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</si>
  <si>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</si>
  <si>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</si>
  <si>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</si>
  <si>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</si>
  <si>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</si>
  <si>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</si>
  <si>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</si>
  <si>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</si>
  <si>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</si>
  <si>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</si>
  <si>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</si>
  <si>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</si>
  <si>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</si>
  <si>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</si>
  <si>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</si>
  <si>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</si>
  <si>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</si>
  <si>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</si>
  <si>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</si>
  <si>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</si>
  <si>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</si>
  <si>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</si>
  <si>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</si>
  <si>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</si>
  <si>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</si>
  <si>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</si>
  <si>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</si>
  <si>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</si>
  <si>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</si>
  <si>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</si>
  <si>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</si>
  <si>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</si>
  <si>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</si>
  <si>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</si>
  <si>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</si>
  <si>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</si>
  <si>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</si>
  <si>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</si>
  <si>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</si>
  <si>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</si>
  <si>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</si>
  <si>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</si>
  <si>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</si>
  <si>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</si>
  <si>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</si>
  <si>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</si>
  <si>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</si>
  <si>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</si>
  <si>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</si>
  <si>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</si>
  <si>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</si>
  <si>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</si>
  <si>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</si>
  <si>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</si>
  <si>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</si>
  <si>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</si>
  <si>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</si>
  <si>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</si>
  <si>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</si>
  <si>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</si>
  <si>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</si>
  <si>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</si>
  <si>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</si>
  <si>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</si>
  <si>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</si>
  <si>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</si>
  <si>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</si>
  <si>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</si>
  <si>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</si>
  <si>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</si>
  <si>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</si>
  <si>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</si>
  <si>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</si>
  <si>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</si>
  <si>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</si>
  <si>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</si>
  <si>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</si>
  <si>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</si>
  <si>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</si>
  <si>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</si>
  <si>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</si>
  <si>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</si>
  <si>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</si>
  <si>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</si>
  <si>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</si>
  <si>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</si>
  <si>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</si>
  <si>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</si>
  <si>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</si>
  <si>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</si>
  <si>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</si>
  <si>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</si>
  <si>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</si>
  <si>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</si>
  <si>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</si>
  <si>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</si>
  <si>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</si>
  <si>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</si>
  <si>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</si>
  <si>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</si>
  <si>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</si>
  <si>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</si>
  <si>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</si>
  <si>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</si>
  <si>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</si>
  <si>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</si>
  <si>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</si>
  <si>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</si>
  <si>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</si>
  <si>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</si>
  <si>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</si>
  <si>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</si>
  <si>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</si>
  <si>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</si>
  <si>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</si>
  <si>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</si>
  <si>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</si>
  <si>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</si>
  <si>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</si>
  <si>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</si>
  <si>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</si>
  <si>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</si>
  <si>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</si>
  <si>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</si>
  <si>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</si>
  <si>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</si>
  <si>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</si>
  <si>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</si>
  <si>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</si>
  <si>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</si>
  <si>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</si>
  <si>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</si>
  <si>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</si>
  <si>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</si>
  <si>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</si>
  <si>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</si>
  <si>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</si>
  <si>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</si>
  <si>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</si>
  <si>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</si>
  <si>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</si>
  <si>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</si>
  <si>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</si>
  <si>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</si>
  <si>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</si>
  <si>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</si>
  <si>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</si>
  <si>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</si>
  <si>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</si>
  <si>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</si>
  <si>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</si>
  <si>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</si>
  <si>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</si>
  <si>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</si>
  <si>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</si>
  <si>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</si>
  <si>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</si>
  <si>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</si>
  <si>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</si>
  <si>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</si>
  <si>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</si>
  <si>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</si>
  <si>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</si>
  <si>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</si>
  <si>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</si>
  <si>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</si>
  <si>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</si>
  <si>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</si>
  <si>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</si>
  <si>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</si>
  <si>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</si>
  <si>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</si>
  <si>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</si>
  <si>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</si>
  <si>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</si>
  <si>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</si>
  <si>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</si>
  <si>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</si>
  <si>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</si>
  <si>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</si>
  <si>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</si>
  <si>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</si>
  <si>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</si>
  <si>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</si>
  <si>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</si>
  <si>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</si>
  <si>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</si>
  <si>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</si>
  <si>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</si>
  <si>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</si>
  <si>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</si>
  <si>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</si>
  <si>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</si>
  <si>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</si>
  <si>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</si>
  <si>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</si>
  <si>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</si>
  <si>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</si>
  <si>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</si>
  <si>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</si>
  <si>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</si>
  <si>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</si>
  <si>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</si>
  <si>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</si>
  <si>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</si>
  <si>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</si>
  <si>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</si>
  <si>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</si>
  <si>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</si>
  <si>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</si>
  <si>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</si>
  <si>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</si>
  <si>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</si>
  <si>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</si>
  <si>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</si>
  <si>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</si>
  <si>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</si>
  <si>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</si>
  <si>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</si>
  <si>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</si>
  <si>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</si>
  <si>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</si>
  <si>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</si>
  <si>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</si>
  <si>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</si>
  <si>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</si>
  <si>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</si>
  <si>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</si>
  <si>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</si>
  <si>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</si>
  <si>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</si>
  <si>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</si>
  <si>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</si>
  <si>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</si>
  <si>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</si>
  <si>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</si>
  <si>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</si>
  <si>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</si>
  <si>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</si>
  <si>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</si>
  <si>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</si>
  <si>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</si>
  <si>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</si>
  <si>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</si>
  <si>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</si>
  <si>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</si>
  <si>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</si>
  <si>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</si>
  <si>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</si>
  <si>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</si>
  <si>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</si>
  <si>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</si>
  <si>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</si>
  <si>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</si>
  <si>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</si>
  <si>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</si>
  <si>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</si>
  <si>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</si>
  <si>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</si>
  <si>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</si>
  <si>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</si>
  <si>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</si>
  <si>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</si>
  <si>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</si>
  <si>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</si>
  <si>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</si>
  <si>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</si>
  <si>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</si>
  <si>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</si>
  <si>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</si>
  <si>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</si>
  <si>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</si>
  <si>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</si>
  <si>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</si>
  <si>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</si>
  <si>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</si>
  <si>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</si>
  <si>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</si>
  <si>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</si>
  <si>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</si>
  <si>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</si>
  <si>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</si>
  <si>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</si>
  <si>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</si>
  <si>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</si>
  <si>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</si>
  <si>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</si>
  <si>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</si>
  <si>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</si>
  <si>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</si>
  <si>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</si>
  <si>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</si>
  <si>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</si>
  <si>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</si>
  <si>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</si>
  <si>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</si>
  <si>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</si>
  <si>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</si>
  <si>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</si>
  <si>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</si>
  <si>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</si>
  <si>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</si>
  <si>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</si>
  <si>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</si>
  <si>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</si>
  <si>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</si>
  <si>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</si>
  <si>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</si>
  <si>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</si>
  <si>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</si>
  <si>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</si>
  <si>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</si>
  <si>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</si>
  <si>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</si>
  <si>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</si>
  <si>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</si>
  <si>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</si>
  <si>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</si>
  <si>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</si>
  <si>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</si>
  <si>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</si>
  <si>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</si>
  <si>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</si>
  <si>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</si>
  <si>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</si>
  <si>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</si>
  <si>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</si>
  <si>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</si>
  <si>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</si>
  <si>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</si>
  <si>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</si>
  <si>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</si>
  <si>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</si>
  <si>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</si>
  <si>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</si>
  <si>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</si>
  <si>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</si>
  <si>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</si>
  <si>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</si>
  <si>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</si>
  <si>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</si>
  <si>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</si>
  <si>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</si>
  <si>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</si>
  <si>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</si>
  <si>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</si>
  <si>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</si>
  <si>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</si>
  <si>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</si>
  <si>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</si>
  <si>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</si>
  <si>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</si>
  <si>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</si>
  <si>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</si>
  <si>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</si>
  <si>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</si>
  <si>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</si>
  <si>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</si>
  <si>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</si>
  <si>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</si>
  <si>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</si>
  <si>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</si>
  <si>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</si>
  <si>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</si>
  <si>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</si>
  <si>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</si>
  <si>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</si>
  <si>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</si>
  <si>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</si>
  <si>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</si>
  <si>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</si>
  <si>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</si>
  <si>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</si>
  <si>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</si>
  <si>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</si>
  <si>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</si>
  <si>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</si>
  <si>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</si>
  <si>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</si>
  <si>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</si>
  <si>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</si>
  <si>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</si>
  <si>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</si>
  <si>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</si>
  <si>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</si>
  <si>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</si>
  <si>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</si>
  <si>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</si>
  <si>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</si>
  <si>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</si>
  <si>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</si>
  <si>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</si>
  <si>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</si>
  <si>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</si>
  <si>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</si>
  <si>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</si>
  <si>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</si>
  <si>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</si>
  <si>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</si>
  <si>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</si>
  <si>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</si>
  <si>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</si>
  <si>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</si>
  <si>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</si>
  <si>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</si>
  <si>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</si>
  <si>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</si>
  <si>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</si>
  <si>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</si>
  <si>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</si>
  <si>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</si>
  <si>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</si>
  <si>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</si>
  <si>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</si>
  <si>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</si>
  <si>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</si>
  <si>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</si>
  <si>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</si>
  <si>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</si>
  <si>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</si>
  <si>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</si>
  <si>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</si>
  <si>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</si>
  <si>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</si>
  <si>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</si>
  <si>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</si>
  <si>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</si>
  <si>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</si>
  <si>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</si>
  <si>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</si>
  <si>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</si>
  <si>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</si>
  <si>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</si>
  <si>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</si>
  <si>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</si>
  <si>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</si>
  <si>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</si>
  <si>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</si>
  <si>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</si>
  <si>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</si>
  <si>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</si>
  <si>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</si>
  <si>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</si>
  <si>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</si>
  <si>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</si>
  <si>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</si>
  <si>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</si>
  <si>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</si>
  <si>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</si>
  <si>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</si>
  <si>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</si>
  <si>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</si>
  <si>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</si>
  <si>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</si>
  <si>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</si>
  <si>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</si>
  <si>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</si>
  <si>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</si>
  <si>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</si>
  <si>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</si>
  <si>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</si>
  <si>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</si>
  <si>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</si>
  <si>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</si>
  <si>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</si>
  <si>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</si>
  <si>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</si>
  <si>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</si>
  <si>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</si>
  <si>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</si>
  <si>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</si>
  <si>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</si>
  <si>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</si>
  <si>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</si>
  <si>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</si>
  <si>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</si>
  <si>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</si>
  <si>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</si>
  <si>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</si>
  <si>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</si>
  <si>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</si>
  <si>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</si>
  <si>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</si>
  <si>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</si>
  <si>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</si>
  <si>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</si>
  <si>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</si>
  <si>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</si>
  <si>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</si>
  <si>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</si>
  <si>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</si>
  <si>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</si>
  <si>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</si>
  <si>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</si>
  <si>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</si>
  <si>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</si>
  <si>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</si>
  <si>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</si>
  <si>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</si>
  <si>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</si>
  <si>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</si>
  <si>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</si>
  <si>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</si>
  <si>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</si>
  <si>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</si>
  <si>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</si>
  <si>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</si>
  <si>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</si>
  <si>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</si>
  <si>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</si>
  <si>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</si>
  <si>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</si>
  <si>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</si>
  <si>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</si>
  <si>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</si>
  <si>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</si>
  <si>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</si>
  <si>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</si>
  <si>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</si>
  <si>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</si>
  <si>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</si>
  <si>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</si>
  <si>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</si>
  <si>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</si>
  <si>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</si>
  <si>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</si>
  <si>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</si>
  <si>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</si>
  <si>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</si>
  <si>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</si>
  <si>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</si>
  <si>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</si>
  <si>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</si>
  <si>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</si>
  <si>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</si>
  <si>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</si>
  <si>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</si>
  <si>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</si>
  <si>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</si>
  <si>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</si>
  <si>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</si>
  <si>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</si>
  <si>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</si>
  <si>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</si>
  <si>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</si>
  <si>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</si>
  <si>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</si>
  <si>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</si>
  <si>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</si>
  <si>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</si>
  <si>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</si>
  <si>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</si>
  <si>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</si>
  <si>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</si>
  <si>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</si>
  <si>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</si>
  <si>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</si>
  <si>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</si>
  <si>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</si>
  <si>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</si>
  <si>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</si>
  <si>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</si>
  <si>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</si>
  <si>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</si>
  <si>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</si>
  <si>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</si>
  <si>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</si>
  <si>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</si>
  <si>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</si>
  <si>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</si>
  <si>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</si>
  <si>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</si>
  <si>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</si>
  <si>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</si>
  <si>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</si>
  <si>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</si>
  <si>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</si>
  <si>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</si>
  <si>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</si>
  <si>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</si>
  <si>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</si>
  <si>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</si>
  <si>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</si>
  <si>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</si>
  <si>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</si>
  <si>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</si>
  <si>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</si>
  <si>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</si>
  <si>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</si>
  <si>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</si>
  <si>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</si>
  <si>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</si>
  <si>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</si>
  <si>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</si>
  <si>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</si>
  <si>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</si>
  <si>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</si>
  <si>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</si>
  <si>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</si>
  <si>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</si>
  <si>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</si>
  <si>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</si>
  <si>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</si>
  <si>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</si>
  <si>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</si>
  <si>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</si>
  <si>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</si>
  <si>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</si>
  <si>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</si>
  <si>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</si>
  <si>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</si>
  <si>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</si>
  <si>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</si>
  <si>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</si>
  <si>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</si>
  <si>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</si>
  <si>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</si>
  <si>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</si>
  <si>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</si>
  <si>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</si>
  <si>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</si>
  <si>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</si>
  <si>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</si>
  <si>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</si>
  <si>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</si>
  <si>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</si>
  <si>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</si>
  <si>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</si>
  <si>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</si>
  <si>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</si>
  <si>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</si>
  <si>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</si>
  <si>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</si>
  <si>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</si>
  <si>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</si>
  <si>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</si>
  <si>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</si>
  <si>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</si>
  <si>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</si>
  <si>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</si>
  <si>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</si>
  <si>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</si>
  <si>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</si>
  <si>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</si>
  <si>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</si>
  <si>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</si>
  <si>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</si>
  <si>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</si>
  <si>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</si>
  <si>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</si>
  <si>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</si>
  <si>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</si>
  <si>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</si>
  <si>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</si>
  <si>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</si>
  <si>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</si>
  <si>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</si>
  <si>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</si>
  <si>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</si>
  <si>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</si>
  <si>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</si>
  <si>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</si>
  <si>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</si>
  <si>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</si>
  <si>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</si>
  <si>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</si>
  <si>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</si>
  <si>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</si>
  <si>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</si>
  <si>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</si>
  <si>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</si>
  <si>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</si>
  <si>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</si>
  <si>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</si>
  <si>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</si>
  <si>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</si>
  <si>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</si>
  <si>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</si>
  <si>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</si>
  <si>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</si>
  <si>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</si>
  <si>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</si>
  <si>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</si>
  <si>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</si>
  <si>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</si>
  <si>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</si>
  <si>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</si>
  <si>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</si>
  <si>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</si>
  <si>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</si>
  <si>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</si>
  <si>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</si>
  <si>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</si>
  <si>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</si>
  <si>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</si>
  <si>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</si>
  <si>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</si>
  <si>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</si>
  <si>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</si>
  <si>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</si>
  <si>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</si>
  <si>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</si>
  <si>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</si>
  <si>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</si>
  <si>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</si>
  <si>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</si>
  <si>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</si>
  <si>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</si>
  <si>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</si>
  <si>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</si>
  <si>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</si>
  <si>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</si>
  <si>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</si>
  <si>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</si>
  <si>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</si>
  <si>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</si>
  <si>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</si>
  <si>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</si>
  <si>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</si>
  <si>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</si>
  <si>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</si>
  <si>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</si>
  <si>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</si>
  <si>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</si>
  <si>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</si>
  <si>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</si>
  <si>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</si>
  <si>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</si>
  <si>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</si>
  <si>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</si>
  <si>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</si>
  <si>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</si>
  <si>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</si>
  <si>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</si>
  <si>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</si>
  <si>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</si>
  <si>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</si>
  <si>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</si>
  <si>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</si>
  <si>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</si>
  <si>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</si>
  <si>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</si>
  <si>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</si>
  <si>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</si>
  <si>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</si>
  <si>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</si>
  <si>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</si>
  <si>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</si>
  <si>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</si>
  <si>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</si>
  <si>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</si>
  <si>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</si>
  <si>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</si>
  <si>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</si>
  <si>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</si>
  <si>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</si>
  <si>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</si>
  <si>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</si>
  <si>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</si>
  <si>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</si>
  <si>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</si>
  <si>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</si>
  <si>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</si>
  <si>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</si>
  <si>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</si>
  <si>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</si>
  <si>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</si>
  <si>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</si>
  <si>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</si>
  <si>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</si>
  <si>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</si>
  <si>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</si>
  <si>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</si>
  <si>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</si>
  <si>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</si>
  <si>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</si>
  <si>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</si>
  <si>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</si>
  <si>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</si>
  <si>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</si>
  <si>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</si>
  <si>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</si>
  <si>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</si>
  <si>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</si>
  <si>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</si>
  <si>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</si>
  <si>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</si>
  <si>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</si>
  <si>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</si>
  <si>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</si>
  <si>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</si>
  <si>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</si>
  <si>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</si>
  <si>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</si>
  <si>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</si>
  <si>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</si>
  <si>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</si>
  <si>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</si>
  <si>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</si>
  <si>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</si>
  <si>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</si>
  <si>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</si>
  <si>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</si>
  <si>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</si>
  <si>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</si>
  <si>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</si>
  <si>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</si>
  <si>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</si>
  <si>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</si>
  <si>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</si>
  <si>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</si>
  <si>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</si>
  <si>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</si>
  <si>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</si>
  <si>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</si>
  <si>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</si>
  <si>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</si>
  <si>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</si>
  <si>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</si>
  <si>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</si>
  <si>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</si>
  <si>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</si>
  <si>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</si>
  <si>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</si>
  <si>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</si>
  <si>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</si>
  <si>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</si>
  <si>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</si>
  <si>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</si>
  <si>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</si>
  <si>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</si>
  <si>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</si>
  <si>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</si>
  <si>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</si>
  <si>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</si>
  <si>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</si>
  <si>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</si>
  <si>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</si>
  <si>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</si>
  <si>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</si>
  <si>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</si>
  <si>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</si>
  <si>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</si>
  <si>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</si>
  <si>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</si>
  <si>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</si>
  <si>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</si>
  <si>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</si>
  <si>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</si>
  <si>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</si>
  <si>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</si>
  <si>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</si>
  <si>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</si>
  <si>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</si>
  <si>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</si>
  <si>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</si>
  <si>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</si>
  <si>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</si>
  <si>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</si>
  <si>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</si>
  <si>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</si>
  <si>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</si>
  <si>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</si>
  <si>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</si>
  <si>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</si>
  <si>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</si>
  <si>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</si>
  <si>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</si>
  <si>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</si>
  <si>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</si>
  <si>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</si>
  <si>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</si>
  <si>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</si>
  <si>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</si>
  <si>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</si>
  <si>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</si>
  <si>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</si>
  <si>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</si>
  <si>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</si>
  <si>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</si>
  <si>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</si>
  <si>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</si>
  <si>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</si>
  <si>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</si>
  <si>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</si>
  <si>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</si>
  <si>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</si>
  <si>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</si>
  <si>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</si>
  <si>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</si>
  <si>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</si>
  <si>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</si>
  <si>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</si>
  <si>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</si>
  <si>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</si>
  <si>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</si>
  <si>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</si>
  <si>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</si>
  <si>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</si>
  <si>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</si>
  <si>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</si>
  <si>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</si>
  <si>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</si>
  <si>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</si>
  <si>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</si>
  <si>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</si>
  <si>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</si>
  <si>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</si>
  <si>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</si>
  <si>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</si>
  <si>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</si>
  <si>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</si>
  <si>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</si>
  <si>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</si>
  <si>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</si>
  <si>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</si>
  <si>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</si>
  <si>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</si>
  <si>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</si>
  <si>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</si>
  <si>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</si>
  <si>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</si>
  <si>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</si>
  <si>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</si>
  <si>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</si>
  <si>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</si>
  <si>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</si>
  <si>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</si>
  <si>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</si>
  <si>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</si>
  <si>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</si>
  <si>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</si>
  <si>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</si>
  <si>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</si>
  <si>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</si>
  <si>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</si>
  <si>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</si>
  <si>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</si>
  <si>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</si>
  <si>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</si>
  <si>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</si>
  <si>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</si>
  <si>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</si>
  <si>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</si>
  <si>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</si>
  <si>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</si>
  <si>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</si>
  <si>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</si>
  <si>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</si>
  <si>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</si>
  <si>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</si>
  <si>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</si>
  <si>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</si>
  <si>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</si>
  <si>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</si>
  <si>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</si>
  <si>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</si>
  <si>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</si>
  <si>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</si>
  <si>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</si>
  <si>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</si>
  <si>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</si>
  <si>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</si>
  <si>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</si>
  <si>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</si>
  <si>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</si>
  <si>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</si>
  <si>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</si>
  <si>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</si>
  <si>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</si>
  <si>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</si>
  <si>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</si>
  <si>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</si>
  <si>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</si>
  <si>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</si>
  <si>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</si>
  <si>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</si>
  <si>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</si>
  <si>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</si>
  <si>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</si>
  <si>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</si>
  <si>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</si>
  <si>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</si>
  <si>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</si>
  <si>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</si>
  <si>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</si>
  <si>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</si>
  <si>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</si>
  <si>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</si>
  <si>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</si>
  <si>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</si>
  <si>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</si>
  <si>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</si>
  <si>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</si>
  <si>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</si>
  <si>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</si>
  <si>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</si>
  <si>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</si>
  <si>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</si>
  <si>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</si>
  <si>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</si>
  <si>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</si>
  <si>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</si>
  <si>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</si>
  <si>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</si>
  <si>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</si>
  <si>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</si>
  <si>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</si>
  <si>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</si>
  <si>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</si>
  <si>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</si>
  <si>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</si>
  <si>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</si>
  <si>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</si>
  <si>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</si>
  <si>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</si>
  <si>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</si>
  <si>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</si>
  <si>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</si>
  <si>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</si>
  <si>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</si>
  <si>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</si>
  <si>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</si>
  <si>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</si>
  <si>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</si>
  <si>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</si>
  <si>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</si>
  <si>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</si>
  <si>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</si>
  <si>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</si>
  <si>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</si>
  <si>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</si>
  <si>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</si>
  <si>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</si>
  <si>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</si>
  <si>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</si>
  <si>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</si>
  <si>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</si>
  <si>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</si>
  <si>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</si>
  <si>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</si>
  <si>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</si>
  <si>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</si>
  <si>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</si>
  <si>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</si>
  <si>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</si>
  <si>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</si>
  <si>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</si>
  <si>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</si>
  <si>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</si>
  <si>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</si>
  <si>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</si>
  <si>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</si>
  <si>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</si>
  <si>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</si>
  <si>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</si>
  <si>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</si>
  <si>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</si>
  <si>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</si>
  <si>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</si>
  <si>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</si>
  <si>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</si>
  <si>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</si>
  <si>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</si>
  <si>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</si>
  <si>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</si>
  <si>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</si>
  <si>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</si>
  <si>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</si>
  <si>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</si>
  <si>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</si>
  <si>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</si>
  <si>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</si>
  <si>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</si>
  <si>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</si>
  <si>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</si>
  <si>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</si>
  <si>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</si>
  <si>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</si>
  <si>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</si>
  <si>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</si>
  <si>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</si>
  <si>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</si>
  <si>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</si>
  <si>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</si>
  <si>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</si>
  <si>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</si>
  <si>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</si>
  <si>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</si>
  <si>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</si>
  <si>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</si>
  <si>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</si>
  <si>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</si>
  <si>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</si>
  <si>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</si>
  <si>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</si>
  <si>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</si>
  <si>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</si>
  <si>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</si>
  <si>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</si>
  <si>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</si>
  <si>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</si>
  <si>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</si>
  <si>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</si>
  <si>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</si>
  <si>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</si>
  <si>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</si>
  <si>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</si>
  <si>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</si>
  <si>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</si>
  <si>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</si>
  <si>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</si>
  <si>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</si>
  <si>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</si>
  <si>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</si>
  <si>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</si>
  <si>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</si>
  <si>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</si>
  <si>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</si>
  <si>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</si>
  <si>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</si>
  <si>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</si>
  <si>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</si>
  <si>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</si>
  <si>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</si>
  <si>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</si>
  <si>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</si>
  <si>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</si>
  <si>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</si>
  <si>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</si>
  <si>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</si>
  <si>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</si>
  <si>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</si>
  <si>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</si>
  <si>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</si>
  <si>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</si>
  <si>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</si>
  <si>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</si>
  <si>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</si>
  <si>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</si>
  <si>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</si>
  <si>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</si>
  <si>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</si>
  <si>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</si>
  <si>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</si>
  <si>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</si>
  <si>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</si>
  <si>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</si>
  <si>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</si>
  <si>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</si>
  <si>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</si>
  <si>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</si>
  <si>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</si>
  <si>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</si>
  <si>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</si>
  <si>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</si>
  <si>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</si>
  <si>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</si>
  <si>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</si>
  <si>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</si>
  <si>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</si>
  <si>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</si>
  <si>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</si>
  <si>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</si>
  <si>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</si>
  <si>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</si>
  <si>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</si>
  <si>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</si>
  <si>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</si>
  <si>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</si>
  <si>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</si>
  <si>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</si>
  <si>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</si>
  <si>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</si>
  <si>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</si>
  <si>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</si>
  <si>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</si>
  <si>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</si>
  <si>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</si>
  <si>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</si>
  <si>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</si>
  <si>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</si>
  <si>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</si>
  <si>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</si>
  <si>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</si>
  <si>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</si>
  <si>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</si>
  <si>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</si>
  <si>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</si>
  <si>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</si>
  <si>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</si>
  <si>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</si>
  <si>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</si>
  <si>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</si>
  <si>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</si>
  <si>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</si>
  <si>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</si>
  <si>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</si>
  <si>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</si>
  <si>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</si>
  <si>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</si>
  <si>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</si>
  <si>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</si>
  <si>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</si>
  <si>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</si>
  <si>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</si>
  <si>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</si>
  <si>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</si>
  <si>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</si>
  <si>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</si>
  <si>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</si>
  <si>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</si>
  <si>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</si>
  <si>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</si>
  <si>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</si>
  <si>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</si>
  <si>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</si>
  <si>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</si>
  <si>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</si>
  <si>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</si>
  <si>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</si>
  <si>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</si>
  <si>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</si>
  <si>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</si>
  <si>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</si>
  <si>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</si>
  <si>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</si>
  <si>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</si>
  <si>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</si>
  <si>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</si>
  <si>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</si>
  <si>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</si>
  <si>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</si>
  <si>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</si>
  <si>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</si>
  <si>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</si>
  <si>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</si>
  <si>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</si>
  <si>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</si>
  <si>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</si>
  <si>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</si>
  <si>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</si>
  <si>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</si>
  <si>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</si>
  <si>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</si>
  <si>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</si>
  <si>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</si>
  <si>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</si>
  <si>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</si>
  <si>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</si>
  <si>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</si>
  <si>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</si>
  <si>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</si>
  <si>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</si>
  <si>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</si>
  <si>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</si>
  <si>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</si>
  <si>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</si>
  <si>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</si>
  <si>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</si>
  <si>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</si>
  <si>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</si>
  <si>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</si>
  <si>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</si>
  <si>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</si>
  <si>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</si>
  <si>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</si>
  <si>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</si>
  <si>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</si>
  <si>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</si>
  <si>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</si>
  <si>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</si>
  <si>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</si>
  <si>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</si>
  <si>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</si>
  <si>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</si>
  <si>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</si>
  <si>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</si>
  <si>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</si>
  <si>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</si>
  <si>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</si>
  <si>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</si>
  <si>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</si>
  <si>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</si>
  <si>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</si>
  <si>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</si>
  <si>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</si>
  <si>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</si>
  <si>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</si>
  <si>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</si>
  <si>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</si>
  <si>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</si>
  <si>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</si>
  <si>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</si>
  <si>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</si>
  <si>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</si>
  <si>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</si>
  <si>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</si>
  <si>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</si>
  <si>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</si>
  <si>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</si>
  <si>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</si>
  <si>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</si>
  <si>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</si>
  <si>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</si>
  <si>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</si>
  <si>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</si>
  <si>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</si>
  <si>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</si>
  <si>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</si>
  <si>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</si>
  <si>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</si>
  <si>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</si>
  <si>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</si>
  <si>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</si>
  <si>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</si>
  <si>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</si>
  <si>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</si>
  <si>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</si>
  <si>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</si>
  <si>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</si>
  <si>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</si>
  <si>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</si>
  <si>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</si>
  <si>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</si>
  <si>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</si>
  <si>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</si>
  <si>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</si>
  <si>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</si>
  <si>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</si>
  <si>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</si>
  <si>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</si>
  <si>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</si>
  <si>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</si>
  <si>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</si>
  <si>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</si>
  <si>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</si>
  <si>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</si>
  <si>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</si>
  <si>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</si>
  <si>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</si>
  <si>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</si>
  <si>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</si>
  <si>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</si>
  <si>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</si>
  <si>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</si>
  <si>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</si>
  <si>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</si>
  <si>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</si>
  <si>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</si>
  <si>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</si>
  <si>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</si>
  <si>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</si>
  <si>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</si>
  <si>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</si>
  <si>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</si>
  <si>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</si>
  <si>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</si>
  <si>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</si>
  <si>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</si>
  <si>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</si>
  <si>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</si>
  <si>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</si>
  <si>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</si>
  <si>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</si>
  <si>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</si>
  <si>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</si>
  <si>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</si>
  <si>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</si>
  <si>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</si>
  <si>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</si>
  <si>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</si>
  <si>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</si>
  <si>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</si>
  <si>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</si>
  <si>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</si>
  <si>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</si>
  <si>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</si>
  <si>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</si>
  <si>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</si>
  <si>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</si>
  <si>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</si>
  <si>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</si>
  <si>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</si>
  <si>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</si>
  <si>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</si>
  <si>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</si>
  <si>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</si>
  <si>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</si>
  <si>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</si>
  <si>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</si>
  <si>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</si>
  <si>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</si>
  <si>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</si>
  <si>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</si>
  <si>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</si>
  <si>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</si>
  <si>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</si>
  <si>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</si>
  <si>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</si>
  <si>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</si>
  <si>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</si>
  <si>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</si>
  <si>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</si>
  <si>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</si>
  <si>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</si>
  <si>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</si>
  <si>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</si>
  <si>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</si>
  <si>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</si>
  <si>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</si>
  <si>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</si>
  <si>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</si>
  <si>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</si>
  <si>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</si>
  <si>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</si>
  <si>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</si>
  <si>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</si>
  <si>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</si>
  <si>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</si>
  <si>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</si>
  <si>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</si>
  <si>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</si>
  <si>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</si>
  <si>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</si>
  <si>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</si>
  <si>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</si>
  <si>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</si>
  <si>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</si>
  <si>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</si>
  <si>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</si>
  <si>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</si>
  <si>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</si>
  <si>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</si>
  <si>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</si>
  <si>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</si>
  <si>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</si>
  <si>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</si>
  <si>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</si>
  <si>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</si>
  <si>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</si>
  <si>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</si>
  <si>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</si>
  <si>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</si>
  <si>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</si>
  <si>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</si>
  <si>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</si>
  <si>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</si>
  <si>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</si>
  <si>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</si>
  <si>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</si>
  <si>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</si>
  <si>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</si>
  <si>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</si>
  <si>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</si>
  <si>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</si>
  <si>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</si>
  <si>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</si>
  <si>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</si>
  <si>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</si>
  <si>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</si>
  <si>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</si>
  <si>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</si>
  <si>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</si>
  <si>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</si>
  <si>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</si>
  <si>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</si>
  <si>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</si>
  <si>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</si>
  <si>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</si>
  <si>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</si>
  <si>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</si>
  <si>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</si>
  <si>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</si>
  <si>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</si>
  <si>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</si>
  <si>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</si>
  <si>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</si>
  <si>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</si>
  <si>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</si>
  <si>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</si>
  <si>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</si>
  <si>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</si>
  <si>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</si>
  <si>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</si>
  <si>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</si>
  <si>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</si>
  <si>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</si>
  <si>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</si>
  <si>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</si>
  <si>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</si>
  <si>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</si>
  <si>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</si>
  <si>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</si>
  <si>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</si>
  <si>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</si>
  <si>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</si>
  <si>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</si>
  <si>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</si>
  <si>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</si>
  <si>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</si>
  <si>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</si>
  <si>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</si>
  <si>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</si>
  <si>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</si>
  <si>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</si>
  <si>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</si>
  <si>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</si>
  <si>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</si>
  <si>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</si>
  <si>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</si>
  <si>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</si>
  <si>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</si>
  <si>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</si>
  <si>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</si>
  <si>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</si>
  <si>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</si>
  <si>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</si>
  <si>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</si>
  <si>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</si>
  <si>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</si>
  <si>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</si>
  <si>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</si>
  <si>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</si>
  <si>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</si>
  <si>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</si>
  <si>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</si>
  <si>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</si>
  <si>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</si>
  <si>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</si>
  <si>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</si>
  <si>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</si>
  <si>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</si>
  <si>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</si>
  <si>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</si>
  <si>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</si>
  <si>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</si>
  <si>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</si>
  <si>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</si>
  <si>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</si>
  <si>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</si>
  <si>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</si>
  <si>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</si>
  <si>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</si>
  <si>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</si>
  <si>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</si>
  <si>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</si>
  <si>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</si>
  <si>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</si>
  <si>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</si>
  <si>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</si>
  <si>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</si>
  <si>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</si>
  <si>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</si>
  <si>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</si>
  <si>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</si>
  <si>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</si>
  <si>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</si>
  <si>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</si>
  <si>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</si>
  <si>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</si>
  <si>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</si>
  <si>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</si>
  <si>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</si>
  <si>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</si>
  <si>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</si>
  <si>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</si>
  <si>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</si>
  <si>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</si>
  <si>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</si>
  <si>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</si>
  <si>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</si>
  <si>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</si>
  <si>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</si>
  <si>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</si>
  <si>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</si>
  <si>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</si>
  <si>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</si>
  <si>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</si>
  <si>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</si>
  <si>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</si>
  <si>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</si>
  <si>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</si>
  <si>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</si>
  <si>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</si>
  <si>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</si>
  <si>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</si>
  <si>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</si>
  <si>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</si>
  <si>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</si>
  <si>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</si>
  <si>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</si>
  <si>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</si>
  <si>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</si>
  <si>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</si>
  <si>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</si>
  <si>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</si>
  <si>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</si>
  <si>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</si>
  <si>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</si>
  <si>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</si>
  <si>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</si>
  <si>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</si>
  <si>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</si>
  <si>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</si>
  <si>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</si>
  <si>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</si>
  <si>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</si>
  <si>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</si>
  <si>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</si>
  <si>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</si>
  <si>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</si>
  <si>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</si>
  <si>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</si>
  <si>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</si>
  <si>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</si>
  <si>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</si>
  <si>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</si>
  <si>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</si>
  <si>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</si>
  <si>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</si>
  <si>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</si>
  <si>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</si>
  <si>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</si>
  <si>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</si>
  <si>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</si>
  <si>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</si>
  <si>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</si>
  <si>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</si>
  <si>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</si>
  <si>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</si>
  <si>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</si>
  <si>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</si>
  <si>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</si>
  <si>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</si>
  <si>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</si>
  <si>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</si>
  <si>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</si>
  <si>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</si>
  <si>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</si>
  <si>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</si>
  <si>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</si>
  <si>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</si>
  <si>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</si>
  <si>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</si>
  <si>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</si>
  <si>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</si>
  <si>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</si>
  <si>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</si>
  <si>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</si>
  <si>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</si>
  <si>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</si>
  <si>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</si>
  <si>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</si>
  <si>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</si>
  <si>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</si>
  <si>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</si>
  <si>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</si>
  <si>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</si>
  <si>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</si>
  <si>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</si>
  <si>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</si>
  <si>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</si>
  <si>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</si>
  <si>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</si>
  <si>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</si>
  <si>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</si>
  <si>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</si>
  <si>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</si>
  <si>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</si>
  <si>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</si>
  <si>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</si>
  <si>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</si>
  <si>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</si>
  <si>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</si>
  <si>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</si>
  <si>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</si>
  <si>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</si>
  <si>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</si>
  <si>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</si>
  <si>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</si>
  <si>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</si>
  <si>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</si>
  <si>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</si>
  <si>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</si>
  <si>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</si>
  <si>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</si>
  <si>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</si>
  <si>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</si>
  <si>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</si>
  <si>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</si>
  <si>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</si>
  <si>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</si>
  <si>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</si>
  <si>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</si>
  <si>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</si>
  <si>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</si>
  <si>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</si>
  <si>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</si>
  <si>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</si>
  <si>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</si>
  <si>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</si>
  <si>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</si>
  <si>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</si>
  <si>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</si>
  <si>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</si>
  <si>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</si>
  <si>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</si>
  <si>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</si>
  <si>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</si>
  <si>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</si>
  <si>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</si>
  <si>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</si>
  <si>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</si>
  <si>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</si>
  <si>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</si>
  <si>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</si>
  <si>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</si>
  <si>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</si>
  <si>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</si>
  <si>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</si>
  <si>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</si>
  <si>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</si>
  <si>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</si>
  <si>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</si>
  <si>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</si>
  <si>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</si>
  <si>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</si>
  <si>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</si>
  <si>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</si>
  <si>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</si>
  <si>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</si>
  <si>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</si>
  <si>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</si>
  <si>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</si>
  <si>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</si>
  <si>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</si>
  <si>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</si>
  <si>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</si>
  <si>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</si>
  <si>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</si>
  <si>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</si>
  <si>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</si>
  <si>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</si>
  <si>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</si>
  <si>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</si>
  <si>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</si>
  <si>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</si>
  <si>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</si>
  <si>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</si>
  <si>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</si>
  <si>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</si>
  <si>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</si>
  <si>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</si>
  <si>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</si>
  <si>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</si>
  <si>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</si>
  <si>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</si>
  <si>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</si>
  <si>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</si>
  <si>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</si>
  <si>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</si>
  <si>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</si>
  <si>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</si>
  <si>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</si>
  <si>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</si>
  <si>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</si>
  <si>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</si>
  <si>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</si>
  <si>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</si>
  <si>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</si>
  <si>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</si>
  <si>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</si>
  <si>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</si>
  <si>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</si>
  <si>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</si>
  <si>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</si>
  <si>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</si>
  <si>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</si>
  <si>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</si>
  <si>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</si>
  <si>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</si>
  <si>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</si>
  <si>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</si>
  <si>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</si>
  <si>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</si>
  <si>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</si>
  <si>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</si>
  <si>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</si>
  <si>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</si>
  <si>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</si>
  <si>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</si>
  <si>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</si>
  <si>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</si>
  <si>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</si>
  <si>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</si>
  <si>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</si>
  <si>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</si>
  <si>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</si>
  <si>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</si>
  <si>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</si>
  <si>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</si>
  <si>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</si>
  <si>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</si>
  <si>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</si>
  <si>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</si>
  <si>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</si>
  <si>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</si>
  <si>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</si>
  <si>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</si>
  <si>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</si>
  <si>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</si>
  <si>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</si>
  <si>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</si>
  <si>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</si>
  <si>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</si>
  <si>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</si>
  <si>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</si>
  <si>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</si>
  <si>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</si>
  <si>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</si>
  <si>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</si>
  <si>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</si>
  <si>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</si>
  <si>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</si>
  <si>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</si>
  <si>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</si>
  <si>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</si>
  <si>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</si>
  <si>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</si>
  <si>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</si>
  <si>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</si>
  <si>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</si>
  <si>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</si>
  <si>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</si>
  <si>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</si>
  <si>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</si>
  <si>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</si>
  <si>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</si>
  <si>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</si>
  <si>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</si>
  <si>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</si>
  <si>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</si>
  <si>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</si>
  <si>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</si>
  <si>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</si>
  <si>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</si>
  <si>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</si>
  <si>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</si>
  <si>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</si>
  <si>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</si>
  <si>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</si>
  <si>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</si>
  <si>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</si>
  <si>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</si>
  <si>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</si>
  <si>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</si>
  <si>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</si>
  <si>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</si>
  <si>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</si>
  <si>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</si>
  <si>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</si>
  <si>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</si>
  <si>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</si>
  <si>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</si>
  <si>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</si>
  <si>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</si>
  <si>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</si>
  <si>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</si>
  <si>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</si>
  <si>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</si>
  <si>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</si>
  <si>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</si>
  <si>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</si>
  <si>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</si>
  <si>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</si>
  <si>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</si>
  <si>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</si>
  <si>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</si>
  <si>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</si>
  <si>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</si>
  <si>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</si>
  <si>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</si>
  <si>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</si>
  <si>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</si>
  <si>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</si>
  <si>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</si>
  <si>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</si>
  <si>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</si>
  <si>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</si>
  <si>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</si>
  <si>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</si>
  <si>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</si>
  <si>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</si>
  <si>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</si>
  <si>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</si>
  <si>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</si>
  <si>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</si>
  <si>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</si>
  <si>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</si>
  <si>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</si>
  <si>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</si>
  <si>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</si>
  <si>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</si>
  <si>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</si>
  <si>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</si>
  <si>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</si>
  <si>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</si>
  <si>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</si>
  <si>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</si>
  <si>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</si>
  <si>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</si>
  <si>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</si>
  <si>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</si>
  <si>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</si>
  <si>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</si>
  <si>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</si>
  <si>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</si>
  <si>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</si>
  <si>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</si>
  <si>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</si>
  <si>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</si>
  <si>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</si>
  <si>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</si>
  <si>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</si>
  <si>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</si>
  <si>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</si>
  <si>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</si>
  <si>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</si>
  <si>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</si>
  <si>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</si>
  <si>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</si>
  <si>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</si>
  <si>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</si>
  <si>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</si>
  <si>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</si>
  <si>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</si>
  <si>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</si>
  <si>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</si>
  <si>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</si>
  <si>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</si>
  <si>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</si>
  <si>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</si>
  <si>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</si>
  <si>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</si>
  <si>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</si>
  <si>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</si>
  <si>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</si>
  <si>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</si>
  <si>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</si>
  <si>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</si>
  <si>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</si>
  <si>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</si>
  <si>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</si>
  <si>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</si>
  <si>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</si>
  <si>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</si>
  <si>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</si>
  <si>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</si>
  <si>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</si>
  <si>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</si>
  <si>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</si>
  <si>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</si>
  <si>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</si>
  <si>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</si>
  <si>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</si>
  <si>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</si>
  <si>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</si>
  <si>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</si>
  <si>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</si>
  <si>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</si>
  <si>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</si>
  <si>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</si>
  <si>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</si>
  <si>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</si>
  <si>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</si>
  <si>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</si>
  <si>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</si>
  <si>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</si>
  <si>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</si>
  <si>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</si>
  <si>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</si>
  <si>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</si>
  <si>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</si>
  <si>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</si>
  <si>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</si>
  <si>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</si>
  <si>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</si>
  <si>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</si>
  <si>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</si>
  <si>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</si>
  <si>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</si>
  <si>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</si>
  <si>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</si>
  <si>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</si>
  <si>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</si>
  <si>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</si>
  <si>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</si>
  <si>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</si>
  <si>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</si>
  <si>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</si>
  <si>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</si>
  <si>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</si>
  <si>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</si>
  <si>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</si>
  <si>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</si>
  <si>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</si>
  <si>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</si>
  <si>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</si>
  <si>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</si>
  <si>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</si>
  <si>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</si>
  <si>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</si>
  <si>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</si>
  <si>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</si>
  <si>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</si>
  <si>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</si>
  <si>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</si>
  <si>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</si>
  <si>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</si>
  <si>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</si>
  <si>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</si>
  <si>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</si>
  <si>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</si>
  <si>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</si>
  <si>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</si>
  <si>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</si>
  <si>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</si>
  <si>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</si>
  <si>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</si>
  <si>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</si>
  <si>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</si>
  <si>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</si>
  <si>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</si>
  <si>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</si>
  <si>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</si>
  <si>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</si>
  <si>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</si>
  <si>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</si>
  <si>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</si>
  <si>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</si>
  <si>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</si>
  <si>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</si>
  <si>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</si>
  <si>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</si>
  <si>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</si>
  <si>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</si>
  <si>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</si>
  <si>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</si>
  <si>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</si>
  <si>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</si>
  <si>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</si>
  <si>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</si>
  <si>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</si>
  <si>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</si>
  <si>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</si>
  <si>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</si>
  <si>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</si>
  <si>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</si>
  <si>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</si>
  <si>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</si>
  <si>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</si>
  <si>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</si>
  <si>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</si>
  <si>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</si>
  <si>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</si>
  <si>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</si>
  <si>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</si>
  <si>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</si>
  <si>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</si>
  <si>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</si>
  <si>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</si>
  <si>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</si>
  <si>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</si>
  <si>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</si>
  <si>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</si>
  <si>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</si>
  <si>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</si>
  <si>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</si>
  <si>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</si>
  <si>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</si>
  <si>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</si>
  <si>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</si>
  <si>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</si>
  <si>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</si>
  <si>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</si>
  <si>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</si>
  <si>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</si>
  <si>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</si>
  <si>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</si>
  <si>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</si>
  <si>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</si>
  <si>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</si>
  <si>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</si>
  <si>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</si>
  <si>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</si>
  <si>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</si>
  <si>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</si>
  <si>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</si>
  <si>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</si>
  <si>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</si>
  <si>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</si>
  <si>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</si>
  <si>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</si>
  <si>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</si>
  <si>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</si>
  <si>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</si>
  <si>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</si>
  <si>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</si>
  <si>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</si>
  <si>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</si>
  <si>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</si>
  <si>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</si>
  <si>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</si>
  <si>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</si>
  <si>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</si>
  <si>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</si>
  <si>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</si>
  <si>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</si>
  <si>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</si>
  <si>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</si>
  <si>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</si>
  <si>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</si>
  <si>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</si>
  <si>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</si>
  <si>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</si>
  <si>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</si>
  <si>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</si>
  <si>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</si>
  <si>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</si>
  <si>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</si>
  <si>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</si>
  <si>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</si>
  <si>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</si>
  <si>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</si>
  <si>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</si>
  <si>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</si>
  <si>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</si>
  <si>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</si>
  <si>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</si>
  <si>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</si>
  <si>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</si>
  <si>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</si>
  <si>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</si>
  <si>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</si>
  <si>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</si>
  <si>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</si>
  <si>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</si>
  <si>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</si>
  <si>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</si>
  <si>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</si>
  <si>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</si>
  <si>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</si>
  <si>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</si>
  <si>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</si>
  <si>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</si>
  <si>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</si>
  <si>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</si>
  <si>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</si>
  <si>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</si>
  <si>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</si>
  <si>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</si>
  <si>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</si>
  <si>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</si>
  <si>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</si>
  <si>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</si>
  <si>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</si>
  <si>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</si>
  <si>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</si>
  <si>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</si>
  <si>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</si>
  <si>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</si>
  <si>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</si>
  <si>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</si>
  <si>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</si>
  <si>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</si>
  <si>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</si>
  <si>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</si>
  <si>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</si>
  <si>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</si>
  <si>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</si>
  <si>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</si>
  <si>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</si>
  <si>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</si>
  <si>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</si>
  <si>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</si>
  <si>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</si>
  <si>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</si>
  <si>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</si>
  <si>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</si>
  <si>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</si>
  <si>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</si>
  <si>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</si>
  <si>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</si>
  <si>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</si>
  <si>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</si>
  <si>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</si>
  <si>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</si>
  <si>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</si>
  <si>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</si>
  <si>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</si>
  <si>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</si>
  <si>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</si>
  <si>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</si>
  <si>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</si>
  <si>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</si>
  <si>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</si>
  <si>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</si>
  <si>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</si>
  <si>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</si>
  <si>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</si>
  <si>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</si>
  <si>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</si>
  <si>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</si>
  <si>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</si>
  <si>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</si>
  <si>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</si>
  <si>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</si>
  <si>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</si>
  <si>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</si>
  <si>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</si>
  <si>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</si>
  <si>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</si>
  <si>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</si>
  <si>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</si>
  <si>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</si>
  <si>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</si>
  <si>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</si>
  <si>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</si>
  <si>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</si>
  <si>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</si>
  <si>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</si>
  <si>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</si>
  <si>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</si>
  <si>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</si>
  <si>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</si>
  <si>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</si>
  <si>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</si>
  <si>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</si>
  <si>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</si>
  <si>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</si>
  <si>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</si>
  <si>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</si>
  <si>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</si>
  <si>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</si>
  <si>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</si>
  <si>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</si>
  <si>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</si>
  <si>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</si>
  <si>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</si>
  <si>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</si>
  <si>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</si>
  <si>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</si>
  <si>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</si>
  <si>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</si>
  <si>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</si>
  <si>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</si>
  <si>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</si>
  <si>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</si>
  <si>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</si>
  <si>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</si>
  <si>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</si>
  <si>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</si>
  <si>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</si>
  <si>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</si>
  <si>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</si>
  <si>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</si>
  <si>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</si>
  <si>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</si>
  <si>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</si>
  <si>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</si>
  <si>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</si>
  <si>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</si>
  <si>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</si>
  <si>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</si>
  <si>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</si>
  <si>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</si>
  <si>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</si>
  <si>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</si>
  <si>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</si>
  <si>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</si>
  <si>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</si>
  <si>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</si>
  <si>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</si>
  <si>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</si>
  <si>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</si>
  <si>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</si>
  <si>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</si>
  <si>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</si>
  <si>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</si>
  <si>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</si>
  <si>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</si>
  <si>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</si>
  <si>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</si>
  <si>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</si>
  <si>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</si>
  <si>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</si>
  <si>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</si>
  <si>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</si>
  <si>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</si>
  <si>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</si>
  <si>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</si>
  <si>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</si>
  <si>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</si>
  <si>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</si>
  <si>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</si>
  <si>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</si>
  <si>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</si>
  <si>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</si>
  <si>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</si>
  <si>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</si>
  <si>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</si>
  <si>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</si>
  <si>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</si>
  <si>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</si>
  <si>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</si>
  <si>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</si>
  <si>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</si>
  <si>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</si>
  <si>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</si>
  <si>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</si>
  <si>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</si>
  <si>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</si>
  <si>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</si>
  <si>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</si>
  <si>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</si>
  <si>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</si>
  <si>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</si>
  <si>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</si>
  <si>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</si>
  <si>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</si>
  <si>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</si>
  <si>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</si>
  <si>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</si>
  <si>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</si>
  <si>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</si>
  <si>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</si>
  <si>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</si>
  <si>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</si>
  <si>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</si>
  <si>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</si>
  <si>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</si>
  <si>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</si>
  <si>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</si>
  <si>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</si>
  <si>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</si>
  <si>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</si>
  <si>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</si>
  <si>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</si>
  <si>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</si>
  <si>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</si>
  <si>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</si>
  <si>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</si>
  <si>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</si>
  <si>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</si>
  <si>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</si>
  <si>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</si>
  <si>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</si>
  <si>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</si>
  <si>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</si>
  <si>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</si>
  <si>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</si>
  <si>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</si>
  <si>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</si>
  <si>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</si>
  <si>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</si>
  <si>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</si>
  <si>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</si>
  <si>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</si>
  <si>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</si>
  <si>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</si>
  <si>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</si>
  <si>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</si>
  <si>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</si>
  <si>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</si>
  <si>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</si>
  <si>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</si>
  <si>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</si>
  <si>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</si>
  <si>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</si>
  <si>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</si>
  <si>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</si>
  <si>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</si>
  <si>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</si>
  <si>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</si>
  <si>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</si>
  <si>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</si>
  <si>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</si>
  <si>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</si>
  <si>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</si>
  <si>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</si>
  <si>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</si>
  <si>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</si>
  <si>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</si>
  <si>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</si>
  <si>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</si>
  <si>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</si>
  <si>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</si>
  <si>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</si>
  <si>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</si>
  <si>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</si>
  <si>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</si>
  <si>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</si>
  <si>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</si>
  <si>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</si>
  <si>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</si>
  <si>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</si>
  <si>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</si>
  <si>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</si>
  <si>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</si>
  <si>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</si>
  <si>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</si>
  <si>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</si>
  <si>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</si>
  <si>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</si>
  <si>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</si>
  <si>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</si>
  <si>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</si>
  <si>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</si>
  <si>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</si>
  <si>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</si>
  <si>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</si>
  <si>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</si>
  <si>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</si>
  <si>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</si>
  <si>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</si>
  <si>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</si>
  <si>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</si>
  <si>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</si>
  <si>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</si>
  <si>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</si>
  <si>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</si>
  <si>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</si>
  <si>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</si>
  <si>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</si>
  <si>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</si>
  <si>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</si>
  <si>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</si>
  <si>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</si>
  <si>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</si>
  <si>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</si>
  <si>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</si>
  <si>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</si>
  <si>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</si>
  <si>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</si>
  <si>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</si>
  <si>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</si>
  <si>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</si>
  <si>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</si>
  <si>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</si>
  <si>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</si>
  <si>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</si>
  <si>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</si>
  <si>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</si>
  <si>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</si>
  <si>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</si>
  <si>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</si>
  <si>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</si>
  <si>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</si>
  <si>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</si>
  <si>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</si>
  <si>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</si>
  <si>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</si>
  <si>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</si>
  <si>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</si>
  <si>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</si>
  <si>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</si>
  <si>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</si>
  <si>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</si>
  <si>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</si>
  <si>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</si>
  <si>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</si>
  <si>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</si>
  <si>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</si>
  <si>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</si>
  <si>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</si>
  <si>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</si>
  <si>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</si>
  <si>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</si>
  <si>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</si>
  <si>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</si>
  <si>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</si>
  <si>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</si>
  <si>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</si>
  <si>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</si>
  <si>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</si>
  <si>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</si>
  <si>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</si>
  <si>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</si>
  <si>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</si>
  <si>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</si>
  <si>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</si>
  <si>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</si>
  <si>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</si>
  <si>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</si>
  <si>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</si>
  <si>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</si>
  <si>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</si>
  <si>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</si>
  <si>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</si>
  <si>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</si>
  <si>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</si>
  <si>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</si>
  <si>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</si>
  <si>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</si>
  <si>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</si>
  <si>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</si>
  <si>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</si>
  <si>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</si>
  <si>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</si>
  <si>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</si>
  <si>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</si>
  <si>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</si>
  <si>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</si>
  <si>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</si>
  <si>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</si>
  <si>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</si>
  <si>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</si>
  <si>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</si>
  <si>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</si>
  <si>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</si>
  <si>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</si>
  <si>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</si>
  <si>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</si>
  <si>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</si>
  <si>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</si>
  <si>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</si>
  <si>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</si>
  <si>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LIAMONE</t>
  </si>
  <si>
    <t xml:space="preserve">Murzo</t>
  </si>
  <si>
    <t xml:space="preserve">06215790</t>
  </si>
  <si>
    <t xml:space="preserve">7178d - RCS Corse 2015</t>
  </si>
  <si>
    <t xml:space="preserve">radier</t>
  </si>
  <si>
    <t xml:space="preserve">mouille</t>
  </si>
  <si>
    <t xml:space="preserve">faible</t>
  </si>
  <si>
    <t xml:space="preserve">peu abondant</t>
  </si>
  <si>
    <t xml:space="preserve">Cf.</t>
  </si>
  <si>
    <t xml:space="preserve">NEWCOD</t>
  </si>
  <si>
    <t xml:space="preserve">Coleochaete sp.</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</si>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</sst>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40" activeCellId="0" sqref="A1:P4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13.8333333333333</v>
      </c>
      <c r="N5" s="352"/>
      <c r="O5" s="353" t="s">
        <v>897</v>
      </c>
      <c r="P5" s="354" t="n">
        <v>13.1111111111111</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55</v>
      </c>
      <c r="C7" s="370" t="n">
        <v>45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12.4545454545455</v>
      </c>
      <c r="P8" s="384" t="n">
        <f aca="false">IF(ISERROR(AVERAGE(K23:K82)),"  ",AVERAGE(K23:K82))</f>
        <v>1.72727272727273</v>
      </c>
      <c r="Q8" s="385"/>
      <c r="R8" s="309"/>
      <c r="S8" s="309"/>
      <c r="T8" s="309"/>
      <c r="U8" s="309"/>
      <c r="V8" s="309"/>
      <c r="W8" s="323"/>
    </row>
    <row r="9" customFormat="false" ht="12.75" hidden="false" customHeight="false" outlineLevel="0" collapsed="false">
      <c r="A9" s="342" t="s">
        <v>3394</v>
      </c>
      <c r="B9" s="386" t="n">
        <v>1.25</v>
      </c>
      <c r="C9" s="387" t="n">
        <v>0.15</v>
      </c>
      <c r="D9" s="388"/>
      <c r="E9" s="388"/>
      <c r="F9" s="389" t="n">
        <f aca="false">($B9*$B$7+$C9*$C$7)/100</f>
        <v>0.755</v>
      </c>
      <c r="G9" s="390"/>
      <c r="H9" s="345"/>
      <c r="I9" s="309"/>
      <c r="J9" s="391"/>
      <c r="K9" s="392"/>
      <c r="L9" s="375"/>
      <c r="M9" s="393"/>
      <c r="N9" s="383" t="s">
        <v>3395</v>
      </c>
      <c r="O9" s="384" t="n">
        <f aca="false">IF(ISERROR(STDEVP(J23:J82))," ",STDEVP(J23:J82))</f>
        <v>2.31059364129797</v>
      </c>
      <c r="P9" s="384" t="n">
        <f aca="false">IF(ISERROR(STDEVP(K23:K82)),"  ",STDEVP(K23:K82))</f>
        <v>0.74965556829412</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9</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17</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3</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5</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0.705882352941177</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1.255</v>
      </c>
      <c r="C20" s="461" t="n">
        <f aca="false">SUM(C23:C62)</f>
        <v>0.15</v>
      </c>
      <c r="D20" s="462"/>
      <c r="E20" s="463" t="s">
        <v>3419</v>
      </c>
      <c r="F20" s="464" t="n">
        <f aca="false">($B20*$B$7+$C20*$C$7)/100</f>
        <v>0.75775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0.69025</v>
      </c>
      <c r="C21" s="472" t="n">
        <f aca="false">C20*C7/100</f>
        <v>0.0675</v>
      </c>
      <c r="D21" s="473" t="s">
        <v>3422</v>
      </c>
      <c r="E21" s="474"/>
      <c r="F21" s="475" t="n">
        <f aca="false">B21+C21</f>
        <v>0.75775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0.00275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0.00275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215</v>
      </c>
      <c r="B24" s="519" t="n">
        <v>0.4</v>
      </c>
      <c r="C24" s="520" t="n">
        <v>0.02</v>
      </c>
      <c r="D24" s="521" t="str">
        <f aca="false">IF(ISERROR(VLOOKUP($A24,'liste reference'!$A$6:$B$1174,2,0)),IF(ISERROR(VLOOKUP($A24,'liste reference'!$B$6:$B$1174,1,0)),"",VLOOKUP($A24,'liste reference'!$B$6:$B$1174,1,0)),VLOOKUP($A24,'liste reference'!$A$6:$B$1174,2,0))</f>
        <v>Lemanea sp.</v>
      </c>
      <c r="E24" s="522" t="e">
        <f aca="false">IF(D24="",0,VLOOKUP(D24,D$22:D23,1,0))</f>
        <v>#N/A</v>
      </c>
      <c r="F24" s="523" t="n">
        <f aca="false">IF(AND(OR(A24="",A24="!!!!!!"),B24="",C24=""),"",IF(OR(AND(B24="",C24=""),ISERROR(C24+B24)),"!!!",($B24*$B$7+$C24*$C$7)/100))</f>
        <v>0.229</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Lemanea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1159</v>
      </c>
      <c r="R24" s="513" t="n">
        <f aca="false">IF(ISTEXT(H24),"",(B24*$B$7/100)+(C24*$C$7/100))</f>
        <v>0.229</v>
      </c>
      <c r="S24" s="514" t="n">
        <f aca="false">IF(OR(ISTEXT(H24),R24=0),"",IF(R24&lt;0.1,1,IF(R24&lt;1,2,IF(R24&lt;10,3,IF(R24&lt;50,4,IF(R24&gt;=50,5,""))))))</f>
        <v>2</v>
      </c>
      <c r="T24" s="514" t="n">
        <f aca="false">IF(ISERROR(S24*J24),0,S24*J24)</f>
        <v>30</v>
      </c>
      <c r="U24" s="514" t="n">
        <f aca="false">IF(ISERROR(S24*J24*K24),0,S24*J24*K24)</f>
        <v>60</v>
      </c>
      <c r="V24" s="530" t="n">
        <f aca="false">IF(ISERROR(S24*K24),0,S24*K24)</f>
        <v>4</v>
      </c>
      <c r="W24" s="531"/>
      <c r="X24" s="532"/>
      <c r="Y24" s="517" t="str">
        <f aca="false">IF(AND(ISNUMBER(F24),OR(A24="",A24="!!!!!!")),"!!!!!!",IF(A24="new.cod","NEWCOD",IF(AND((Z24=""),ISTEXT(A24),A24&lt;&gt;"!!!!!!"),A24,IF(Z24="","",INDEX('liste reference'!$A$6:$A$1174,Z24)))))</f>
        <v>LEASPX</v>
      </c>
      <c r="Z24" s="499" t="n">
        <f aca="false">IF(ISERROR(MATCH(A24,'liste reference'!$A$6:$A$1174,0)),IF(ISERROR(MATCH(A24,'liste reference'!$B$6:$B$1174,0)),"",(MATCH(A24,'liste reference'!$B$6:$B$1174,0))),(MATCH(A24,'liste reference'!$A$6:$A$1174,0)))</f>
        <v>59</v>
      </c>
    </row>
    <row r="25" customFormat="false" ht="12.75" hidden="false" customHeight="false" outlineLevel="0" collapsed="false">
      <c r="A25" s="518" t="s">
        <v>232</v>
      </c>
      <c r="B25" s="519" t="n">
        <v>0.005</v>
      </c>
      <c r="C25" s="520"/>
      <c r="D25" s="521" t="str">
        <f aca="false">IF(ISERROR(VLOOKUP($A25,'liste reference'!$A$6:$B$1174,2,0)),IF(ISERROR(VLOOKUP($A25,'liste reference'!$B$6:$B$1174,1,0)),"",VLOOKUP($A25,'liste reference'!$B$6:$B$1174,1,0)),VLOOKUP($A25,'liste reference'!$A$6:$B$1174,2,0))</f>
        <v>Microcoleus sp.</v>
      </c>
      <c r="E25" s="522" t="e">
        <f aca="false">IF(D25="",0,VLOOKUP(D25,D$22:D24,1,0))</f>
        <v>#N/A</v>
      </c>
      <c r="F25" s="523" t="n">
        <f aca="false">IF(AND(OR(A25="",A25="!!!!!!"),B25="",C25=""),"",IF(OR(AND(B25="",C25=""),ISERROR(C25+B25)),"!!!",($B25*$B$7+$C25*$C$7)/100))</f>
        <v>0.00275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Microcoleus sp.</v>
      </c>
      <c r="M25" s="527"/>
      <c r="N25" s="527"/>
      <c r="O25" s="527"/>
      <c r="P25" s="528" t="s">
        <v>3462</v>
      </c>
      <c r="Q25" s="529" t="n">
        <f aca="false">IF(OR($A25="NEWCOD",$A25="!!!!!!"),IF(X25="","NoCod",X25),IF($A25="","",IF(ISERROR(VLOOKUP($A25,'liste reference'!$A$6:$H$1174,8,FALSE())),IF(ISERROR(VLOOKUP($A25,'liste reference'!$B$6:$H$1174,7,FALSE())),"",VLOOKUP($A25,'liste reference'!$B$6:$H$1174,7,FALSE())),VLOOKUP($A25,'liste reference'!$A$6:$H$1174,8,FALSE()))))</f>
        <v>6405</v>
      </c>
      <c r="R25" s="513" t="n">
        <f aca="false">IF(ISTEXT(H25),"",(B25*$B$7/100)+(C25*$C$7/100))</f>
        <v>0.00275</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MIRSPX</v>
      </c>
      <c r="Z25" s="499" t="n">
        <f aca="false">IF(ISERROR(MATCH(A25,'liste reference'!$A$6:$A$1174,0)),IF(ISERROR(MATCH(A25,'liste reference'!$B$6:$B$1174,0)),"",(MATCH(A25,'liste reference'!$B$6:$B$1174,0))),(MATCH(A25,'liste reference'!$A$6:$A$1174,0)))</f>
        <v>64</v>
      </c>
    </row>
    <row r="26" customFormat="false" ht="12.75" hidden="false" customHeight="false" outlineLevel="0" collapsed="false">
      <c r="A26" s="518" t="s">
        <v>289</v>
      </c>
      <c r="B26" s="519" t="n">
        <v>0.01</v>
      </c>
      <c r="C26" s="520" t="n">
        <v>0.005</v>
      </c>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0.00775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33"/>
      <c r="N26" s="533"/>
      <c r="O26" s="533"/>
      <c r="P26" s="528" t="s">
        <v>3442</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0.00775</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307</v>
      </c>
      <c r="B27" s="519" t="n">
        <v>0.04</v>
      </c>
      <c r="C27" s="520" t="n">
        <v>0.01</v>
      </c>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0.0265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3462</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0.0265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341</v>
      </c>
      <c r="B28" s="519" t="n">
        <v>0.02</v>
      </c>
      <c r="C28" s="520"/>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0.011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0.011</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409</v>
      </c>
      <c r="B29" s="519" t="n">
        <v>0.005</v>
      </c>
      <c r="C29" s="520"/>
      <c r="D29" s="521" t="str">
        <f aca="false">IF(ISERROR(VLOOKUP($A29,'liste reference'!$A$6:$B$1174,2,0)),IF(ISERROR(VLOOKUP($A29,'liste reference'!$B$6:$B$1174,1,0)),"",VLOOKUP($A29,'liste reference'!$B$6:$B$1174,1,0)),VLOOKUP($A29,'liste reference'!$A$6:$B$1174,2,0))</f>
        <v>Dermatocarpon weberi</v>
      </c>
      <c r="E29" s="522" t="e">
        <f aca="false">IF(D29="",0,VLOOKUP(D29,D$22:D28,1,0))</f>
        <v>#N/A</v>
      </c>
      <c r="F29" s="523" t="n">
        <f aca="false">IF(AND(OR(A29="",A29="!!!!!!"),B29="",C29=""),"",IF(OR(AND(B29="",C29=""),ISERROR(C29+B29)),"!!!",($B29*$B$7+$C29*$C$7)/100))</f>
        <v>0.00275</v>
      </c>
      <c r="G29" s="524" t="str">
        <f aca="false">IF(A29="","",IF(ISERROR(VLOOKUP($A29,'liste reference'!$A$6:$Q$1174,9,0)),IF(ISERROR(VLOOKUP($A29,'liste reference'!$B$6:$Q$1174,8,0)),"    -",VLOOKUP($A29,'liste reference'!$B$6:$Q$1174,8,0)),VLOOKUP($A29,'liste reference'!$A$6:$Q$1174,9,0)))</f>
        <v>LIC</v>
      </c>
      <c r="H29" s="525" t="n">
        <f aca="false">IF(A29="","x",IF(ISERROR(VLOOKUP($A29,'liste reference'!$A$6:$Q$1174,10,0)),IF(ISERROR(VLOOKUP($A29,'liste reference'!$B$6:$Q$1174,9,0)),"x",VLOOKUP($A29,'liste reference'!$B$6:$Q$1174,9,0)),VLOOKUP($A29,'liste reference'!$A$6:$Q$1174,10,0)))</f>
        <v>3</v>
      </c>
      <c r="I29" s="309" t="n">
        <f aca="false">IF(A29="","",1)</f>
        <v>1</v>
      </c>
      <c r="J29" s="526" t="n">
        <f aca="false">IF(ISNUMBER($H29),IF(ISERROR(VLOOKUP($A29,'liste reference'!$A$6:$Q$1174,6,0)),IF(ISERROR(VLOOKUP($A29,'liste reference'!$B$6:$Q$1174,5,0)),"nu",VLOOKUP($A29,'liste reference'!$B$6:$Q$1174,5,0)),VLOOKUP($A29,'liste reference'!$A$6:$Q$1174,6,0)),"nu")</f>
        <v>16</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Dermatocarpon weberi</v>
      </c>
      <c r="M29" s="527"/>
      <c r="N29" s="527"/>
      <c r="O29" s="527"/>
      <c r="P29" s="528" t="s">
        <v>3462</v>
      </c>
      <c r="Q29" s="529" t="n">
        <f aca="false">IF(OR($A29="NEWCOD",$A29="!!!!!!"),IF(X29="","NoCod",X29),IF($A29="","",IF(ISERROR(VLOOKUP($A29,'liste reference'!$A$6:$H$1174,8,FALSE())),IF(ISERROR(VLOOKUP($A29,'liste reference'!$B$6:$H$1174,7,FALSE())),"",VLOOKUP($A29,'liste reference'!$B$6:$H$1174,7,FALSE())),VLOOKUP($A29,'liste reference'!$A$6:$H$1174,8,FALSE()))))</f>
        <v>10217</v>
      </c>
      <c r="R29" s="513" t="n">
        <f aca="false">IF(ISTEXT(H29),"",(B29*$B$7/100)+(C29*$C$7/100))</f>
        <v>0.00275</v>
      </c>
      <c r="S29" s="514" t="n">
        <f aca="false">IF(OR(ISTEXT(H29),R29=0),"",IF(R29&lt;0.1,1,IF(R29&lt;1,2,IF(R29&lt;10,3,IF(R29&lt;50,4,IF(R29&gt;=50,5,""))))))</f>
        <v>1</v>
      </c>
      <c r="T29" s="514" t="n">
        <f aca="false">IF(ISERROR(S29*J29),0,S29*J29)</f>
        <v>16</v>
      </c>
      <c r="U29" s="514" t="n">
        <f aca="false">IF(ISERROR(S29*J29*K29),0,S29*J29*K29)</f>
        <v>48</v>
      </c>
      <c r="V29" s="530" t="n">
        <f aca="false">IF(ISERROR(S29*K29),0,S29*K29)</f>
        <v>3</v>
      </c>
      <c r="W29" s="531"/>
      <c r="X29" s="532"/>
      <c r="Y29" s="517" t="str">
        <f aca="false">IF(AND(ISNUMBER(F29),OR(A29="",A29="!!!!!!")),"!!!!!!",IF(A29="new.cod","NEWCOD",IF(AND((Z29=""),ISTEXT(A29),A29&lt;&gt;"!!!!!!"),A29,IF(Z29="","",INDEX('liste reference'!$A$6:$A$1174,Z29)))))</f>
        <v>DERWEB</v>
      </c>
      <c r="Z29" s="499" t="n">
        <f aca="false">IF(ISERROR(MATCH(A29,'liste reference'!$A$6:$A$1174,0)),IF(ISERROR(MATCH(A29,'liste reference'!$B$6:$B$1174,0)),"",(MATCH(A29,'liste reference'!$B$6:$B$1174,0))),(MATCH(A29,'liste reference'!$A$6:$A$1174,0)))</f>
        <v>124</v>
      </c>
    </row>
    <row r="30" customFormat="false" ht="12.75" hidden="false" customHeight="false" outlineLevel="0" collapsed="false">
      <c r="A30" s="518" t="s">
        <v>666</v>
      </c>
      <c r="B30" s="519" t="n">
        <v>0.005</v>
      </c>
      <c r="C30" s="520"/>
      <c r="D30" s="521" t="str">
        <f aca="false">IF(ISERROR(VLOOKUP($A30,'liste reference'!$A$6:$B$1174,2,0)),IF(ISERROR(VLOOKUP($A30,'liste reference'!$B$6:$B$1174,1,0)),"",VLOOKUP($A30,'liste reference'!$B$6:$B$1174,1,0)),VLOOKUP($A30,'liste reference'!$A$6:$B$1174,2,0))</f>
        <v>Bryum pseudotriquetrum</v>
      </c>
      <c r="E30" s="522" t="e">
        <f aca="false">IF(D30="",0,VLOOKUP(D30,D$22:D29,1,0))</f>
        <v>#N/A</v>
      </c>
      <c r="F30" s="523" t="n">
        <f aca="false">IF(AND(OR(A30="",A30="!!!!!!"),B30="",C30=""),"",IF(OR(AND(B30="",C30=""),ISERROR(C30+B30)),"!!!",($B30*$B$7+$C30*$C$7)/100))</f>
        <v>0.00275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Bryum pseudotriquetrum</v>
      </c>
      <c r="M30" s="527"/>
      <c r="N30" s="527"/>
      <c r="O30" s="527"/>
      <c r="P30" s="528" t="s">
        <v>3462</v>
      </c>
      <c r="Q30" s="529" t="n">
        <f aca="false">IF(OR($A30="NEWCOD",$A30="!!!!!!"),IF(X30="","NoCod",X30),IF($A30="","",IF(ISERROR(VLOOKUP($A30,'liste reference'!$A$6:$H$1174,8,FALSE())),IF(ISERROR(VLOOKUP($A30,'liste reference'!$B$6:$H$1174,7,FALSE())),"",VLOOKUP($A30,'liste reference'!$B$6:$H$1174,7,FALSE())),VLOOKUP($A30,'liste reference'!$A$6:$H$1174,8,FALSE()))))</f>
        <v>1274</v>
      </c>
      <c r="R30" s="513" t="n">
        <f aca="false">IF(ISTEXT(H30),"",(B30*$B$7/100)+(C30*$C$7/100))</f>
        <v>0.00275</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BRYPSE</v>
      </c>
      <c r="Z30" s="499" t="n">
        <f aca="false">IF(ISERROR(MATCH(A30,'liste reference'!$A$6:$A$1174,0)),IF(ISERROR(MATCH(A30,'liste reference'!$B$6:$B$1174,0)),"",(MATCH(A30,'liste reference'!$B$6:$B$1174,0))),(MATCH(A30,'liste reference'!$A$6:$A$1174,0)))</f>
        <v>211</v>
      </c>
    </row>
    <row r="31" customFormat="false" ht="12.75" hidden="false" customHeight="false" outlineLevel="0" collapsed="false">
      <c r="A31" s="518" t="s">
        <v>708</v>
      </c>
      <c r="B31" s="519" t="n">
        <v>0.005</v>
      </c>
      <c r="C31" s="520"/>
      <c r="D31" s="521" t="str">
        <f aca="false">IF(ISERROR(VLOOKUP($A31,'liste reference'!$A$6:$B$1174,2,0)),IF(ISERROR(VLOOKUP($A31,'liste reference'!$B$6:$B$1174,1,0)),"",VLOOKUP($A31,'liste reference'!$B$6:$B$1174,1,0)),VLOOKUP($A31,'liste reference'!$A$6:$B$1174,2,0))</f>
        <v>Cinclidotus fontinaloides</v>
      </c>
      <c r="E31" s="522" t="e">
        <f aca="false">IF(D31="",0,VLOOKUP(D31,D$22:D30,1,0))</f>
        <v>#N/A</v>
      </c>
      <c r="F31" s="523" t="n">
        <f aca="false">IF(AND(OR(A31="",A31="!!!!!!"),B31="",C31=""),"",IF(OR(AND(B31="",C31=""),ISERROR(C31+B31)),"!!!",($B31*$B$7+$C31*$C$7)/100))</f>
        <v>0.00275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Cinclidotus fontinaloides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1320</v>
      </c>
      <c r="R31" s="513" t="n">
        <f aca="false">IF(ISTEXT(H31),"",(B31*$B$7/100)+(C31*$C$7/100))</f>
        <v>0.00275</v>
      </c>
      <c r="S31" s="514" t="n">
        <f aca="false">IF(OR(ISTEXT(H31),R31=0),"",IF(R31&lt;0.1,1,IF(R31&lt;1,2,IF(R31&lt;10,3,IF(R31&lt;50,4,IF(R31&gt;=50,5,""))))))</f>
        <v>1</v>
      </c>
      <c r="T31" s="514" t="n">
        <f aca="false">IF(ISERROR(S31*J31),0,S31*J31)</f>
        <v>12</v>
      </c>
      <c r="U31" s="514" t="n">
        <f aca="false">IF(ISERROR(S31*J31*K31),0,S31*J31*K31)</f>
        <v>24</v>
      </c>
      <c r="V31" s="530" t="n">
        <f aca="false">IF(ISERROR(S31*K31),0,S31*K31)</f>
        <v>2</v>
      </c>
      <c r="W31" s="531"/>
      <c r="X31" s="532"/>
      <c r="Y31" s="517" t="str">
        <f aca="false">IF(AND(ISNUMBER(F31),OR(A31="",A31="!!!!!!")),"!!!!!!",IF(A31="new.cod","NEWCOD",IF(AND((Z31=""),ISTEXT(A31),A31&lt;&gt;"!!!!!!"),A31,IF(Z31="","",INDEX('liste reference'!$A$6:$A$1174,Z31)))))</f>
        <v>CINFON</v>
      </c>
      <c r="Z31" s="499" t="n">
        <f aca="false">IF(ISERROR(MATCH(A31,'liste reference'!$A$6:$A$1174,0)),IF(ISERROR(MATCH(A31,'liste reference'!$B$6:$B$1174,0)),"",(MATCH(A31,'liste reference'!$B$6:$B$1174,0))),(MATCH(A31,'liste reference'!$A$6:$A$1174,0)))</f>
        <v>223</v>
      </c>
    </row>
    <row r="32" customFormat="false" ht="12.75" hidden="false" customHeight="false" outlineLevel="0" collapsed="false">
      <c r="A32" s="518" t="s">
        <v>887</v>
      </c>
      <c r="B32" s="519" t="n">
        <v>0.005</v>
      </c>
      <c r="C32" s="520"/>
      <c r="D32" s="521" t="str">
        <f aca="false">IF(ISERROR(VLOOKUP($A32,'liste reference'!$A$6:$B$1174,2,0)),IF(ISERROR(VLOOKUP($A32,'liste reference'!$B$6:$B$1174,1,0)),"",VLOOKUP($A32,'liste reference'!$B$6:$B$1174,1,0)),VLOOKUP($A32,'liste reference'!$A$6:$B$1174,2,0))</f>
        <v>Fontinalis antipyretica</v>
      </c>
      <c r="E32" s="522" t="e">
        <f aca="false">IF(D32="",0,VLOOKUP(D32,D$22:D31,1,0))</f>
        <v>#N/A</v>
      </c>
      <c r="F32" s="523" t="n">
        <f aca="false">IF(AND(OR(A32="",A32="!!!!!!"),B32="",C32=""),"",IF(OR(AND(B32="",C32=""),ISERROR(C32+B32)),"!!!",($B32*$B$7+$C32*$C$7)/100))</f>
        <v>0.00275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Fontinalis antipyretica</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1310</v>
      </c>
      <c r="R32" s="513" t="n">
        <f aca="false">IF(ISTEXT(H32),"",(B32*$B$7/100)+(C32*$C$7/100))</f>
        <v>0.00275</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FONANT</v>
      </c>
      <c r="Z32" s="499" t="n">
        <f aca="false">IF(ISERROR(MATCH(A32,'liste reference'!$A$6:$A$1174,0)),IF(ISERROR(MATCH(A32,'liste reference'!$B$6:$B$1174,0)),"",(MATCH(A32,'liste reference'!$B$6:$B$1174,0))),(MATCH(A32,'liste reference'!$A$6:$A$1174,0)))</f>
        <v>273</v>
      </c>
    </row>
    <row r="33" customFormat="false" ht="12.75" hidden="false" customHeight="false" outlineLevel="0" collapsed="false">
      <c r="A33" s="518" t="s">
        <v>897</v>
      </c>
      <c r="B33" s="519" t="n">
        <v>0.5</v>
      </c>
      <c r="C33" s="520" t="n">
        <v>0.05</v>
      </c>
      <c r="D33" s="521" t="str">
        <f aca="false">IF(ISERROR(VLOOKUP($A33,'liste reference'!$A$6:$B$1174,2,0)),IF(ISERROR(VLOOKUP($A33,'liste reference'!$B$6:$B$1174,1,0)),"",VLOOKUP($A33,'liste reference'!$B$6:$B$1174,1,0)),VLOOKUP($A33,'liste reference'!$A$6:$B$1174,2,0))</f>
        <v>Fontinalis squamosa</v>
      </c>
      <c r="E33" s="522" t="e">
        <f aca="false">IF(D33="",0,VLOOKUP(D33,D$22:D32,1,0))</f>
        <v>#N/A</v>
      </c>
      <c r="F33" s="523" t="n">
        <f aca="false">IF(AND(OR(A33="",A33="!!!!!!"),B33="",C33=""),"",IF(OR(AND(B33="",C33=""),ISERROR(C33+B33)),"!!!",($B33*$B$7+$C33*$C$7)/100))</f>
        <v>0.2975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16</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Fontinalis squamosa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1312</v>
      </c>
      <c r="R33" s="513" t="n">
        <f aca="false">IF(ISTEXT(H33),"",(B33*$B$7/100)+(C33*$C$7/100))</f>
        <v>0.2975</v>
      </c>
      <c r="S33" s="514" t="n">
        <f aca="false">IF(OR(ISTEXT(H33),R33=0),"",IF(R33&lt;0.1,1,IF(R33&lt;1,2,IF(R33&lt;10,3,IF(R33&lt;50,4,IF(R33&gt;=50,5,""))))))</f>
        <v>2</v>
      </c>
      <c r="T33" s="514" t="n">
        <f aca="false">IF(ISERROR(S33*J33),0,S33*J33)</f>
        <v>32</v>
      </c>
      <c r="U33" s="514" t="n">
        <f aca="false">IF(ISERROR(S33*J33*K33),0,S33*J33*K33)</f>
        <v>96</v>
      </c>
      <c r="V33" s="530" t="n">
        <f aca="false">IF(ISERROR(S33*K33),0,S33*K33)</f>
        <v>6</v>
      </c>
      <c r="W33" s="531"/>
      <c r="X33" s="532"/>
      <c r="Y33" s="517" t="str">
        <f aca="false">IF(AND(ISNUMBER(F33),OR(A33="",A33="!!!!!!")),"!!!!!!",IF(A33="new.cod","NEWCOD",IF(AND((Z33=""),ISTEXT(A33),A33&lt;&gt;"!!!!!!"),A33,IF(Z33="","",INDEX('liste reference'!$A$6:$A$1174,Z33)))))</f>
        <v>FONSQU</v>
      </c>
      <c r="Z33" s="499" t="n">
        <f aca="false">IF(ISERROR(MATCH(A33,'liste reference'!$A$6:$A$1174,0)),IF(ISERROR(MATCH(A33,'liste reference'!$B$6:$B$1174,0)),"",(MATCH(A33,'liste reference'!$B$6:$B$1174,0))),(MATCH(A33,'liste reference'!$A$6:$A$1174,0)))</f>
        <v>277</v>
      </c>
    </row>
    <row r="34" customFormat="false" ht="12.75" hidden="false" customHeight="false" outlineLevel="0" collapsed="false">
      <c r="A34" s="518" t="s">
        <v>1120</v>
      </c>
      <c r="B34" s="519" t="n">
        <v>0.05</v>
      </c>
      <c r="C34" s="520"/>
      <c r="D34" s="521" t="str">
        <f aca="false">IF(ISERROR(VLOOKUP($A34,'liste reference'!$A$6:$B$1174,2,0)),IF(ISERROR(VLOOKUP($A34,'liste reference'!$B$6:$B$1174,1,0)),"",VLOOKUP($A34,'liste reference'!$B$6:$B$1174,1,0)),VLOOKUP($A34,'liste reference'!$A$6:$B$1174,2,0))</f>
        <v>Rhynchostegium riparioides</v>
      </c>
      <c r="E34" s="522" t="e">
        <f aca="false">IF(D34="",0,VLOOKUP(D34,D$22:D33,1,0))</f>
        <v>#N/A</v>
      </c>
      <c r="F34" s="523" t="n">
        <f aca="false">IF(AND(OR(A34="",A34="!!!!!!"),B34="",C34=""),"",IF(OR(AND(B34="",C34=""),ISERROR(C34+B34)),"!!!",($B34*$B$7+$C34*$C$7)/100))</f>
        <v>0.0275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Rhynchostegium riparioides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31691</v>
      </c>
      <c r="R34" s="513" t="n">
        <f aca="false">IF(ISTEXT(H34),"",(B34*$B$7/100)+(C34*$C$7/100))</f>
        <v>0.0275</v>
      </c>
      <c r="S34" s="514" t="n">
        <f aca="false">IF(OR(ISTEXT(H34),R34=0),"",IF(R34&lt;0.1,1,IF(R34&lt;1,2,IF(R34&lt;10,3,IF(R34&lt;50,4,IF(R34&gt;=50,5,""))))))</f>
        <v>1</v>
      </c>
      <c r="T34" s="514" t="n">
        <f aca="false">IF(ISERROR(S34*J34),0,S34*J34)</f>
        <v>12</v>
      </c>
      <c r="U34" s="514" t="n">
        <f aca="false">IF(ISERROR(S34*J34*K34),0,S34*J34*K34)</f>
        <v>12</v>
      </c>
      <c r="V34" s="530" t="n">
        <f aca="false">IF(ISERROR(S34*K34),0,S34*K34)</f>
        <v>1</v>
      </c>
      <c r="W34" s="531"/>
      <c r="X34" s="532"/>
      <c r="Y34" s="517" t="str">
        <f aca="false">IF(AND(ISNUMBER(F34),OR(A34="",A34="!!!!!!")),"!!!!!!",IF(A34="new.cod","NEWCOD",IF(AND((Z34=""),ISTEXT(A34),A34&lt;&gt;"!!!!!!"),A34,IF(Z34="","",INDEX('liste reference'!$A$6:$A$1174,Z34)))))</f>
        <v>RHYRIP</v>
      </c>
      <c r="Z34" s="499" t="n">
        <f aca="false">IF(ISERROR(MATCH(A34,'liste reference'!$A$6:$A$1174,0)),IF(ISERROR(MATCH(A34,'liste reference'!$B$6:$B$1174,0)),"",(MATCH(A34,'liste reference'!$B$6:$B$1174,0))),(MATCH(A34,'liste reference'!$A$6:$A$1174,0)))</f>
        <v>345</v>
      </c>
    </row>
    <row r="35" customFormat="false" ht="12.75" hidden="false" customHeight="false" outlineLevel="0" collapsed="false">
      <c r="A35" s="518" t="s">
        <v>1253</v>
      </c>
      <c r="B35" s="519"/>
      <c r="C35" s="520" t="n">
        <v>0.005</v>
      </c>
      <c r="D35" s="521" t="str">
        <f aca="false">IF(ISERROR(VLOOKUP($A35,'liste reference'!$A$6:$B$1174,2,0)),IF(ISERROR(VLOOKUP($A35,'liste reference'!$B$6:$B$1174,1,0)),"",VLOOKUP($A35,'liste reference'!$B$6:$B$1174,1,0)),VLOOKUP($A35,'liste reference'!$A$6:$B$1174,2,0))</f>
        <v>Equisetum arvense</v>
      </c>
      <c r="E35" s="522" t="e">
        <f aca="false">IF(D35="",0,VLOOKUP(D35,D$22:D34,1,0))</f>
        <v>#N/A</v>
      </c>
      <c r="F35" s="523" t="n">
        <f aca="false">IF(AND(OR(A35="",A35="!!!!!!"),B35="",C35=""),"",IF(OR(AND(B35="",C35=""),ISERROR(C35+B35)),"!!!",($B35*$B$7+$C35*$C$7)/100))</f>
        <v>0.00225</v>
      </c>
      <c r="G35" s="524" t="str">
        <f aca="false">IF(A35="","",IF(ISERROR(VLOOKUP($A35,'liste reference'!$A$6:$Q$1174,9,0)),IF(ISERROR(VLOOKUP($A35,'liste reference'!$B$6:$Q$1174,8,0)),"    -",VLOOKUP($A35,'liste reference'!$B$6:$Q$1174,8,0)),VLOOKUP($A35,'liste reference'!$A$6:$Q$1174,9,0)))</f>
        <v>PTE</v>
      </c>
      <c r="H35" s="525" t="n">
        <f aca="false">IF(A35="","x",IF(ISERROR(VLOOKUP($A35,'liste reference'!$A$6:$Q$1174,10,0)),IF(ISERROR(VLOOKUP($A35,'liste reference'!$B$6:$Q$1174,9,0)),"x",VLOOKUP($A35,'liste reference'!$B$6:$Q$1174,9,0)),VLOOKUP($A35,'liste reference'!$A$6:$Q$1174,10,0)))</f>
        <v>6</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Equisetum arvense</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1384</v>
      </c>
      <c r="R35" s="513" t="n">
        <f aca="false">IF(ISTEXT(H35),"",(B35*$B$7/100)+(C35*$C$7/100))</f>
        <v>0.00225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EQUARV</v>
      </c>
      <c r="Z35" s="499" t="n">
        <f aca="false">IF(ISERROR(MATCH(A35,'liste reference'!$A$6:$A$1174,0)),IF(ISERROR(MATCH(A35,'liste reference'!$B$6:$B$1174,0)),"",(MATCH(A35,'liste reference'!$B$6:$B$1174,0))),(MATCH(A35,'liste reference'!$A$6:$A$1174,0)))</f>
        <v>385</v>
      </c>
    </row>
    <row r="36" customFormat="false" ht="12.75" hidden="false" customHeight="false" outlineLevel="0" collapsed="false">
      <c r="A36" s="518" t="s">
        <v>1311</v>
      </c>
      <c r="B36" s="519" t="n">
        <v>0.2</v>
      </c>
      <c r="C36" s="520" t="n">
        <v>0.05</v>
      </c>
      <c r="D36" s="521" t="str">
        <f aca="false">IF(ISERROR(VLOOKUP($A36,'liste reference'!$A$6:$B$1174,2,0)),IF(ISERROR(VLOOKUP($A36,'liste reference'!$B$6:$B$1174,1,0)),"",VLOOKUP($A36,'liste reference'!$B$6:$B$1174,1,0)),VLOOKUP($A36,'liste reference'!$A$6:$B$1174,2,0))</f>
        <v>Osmunda regalis</v>
      </c>
      <c r="E36" s="522" t="e">
        <f aca="false">IF(D36="",0,VLOOKUP(D36,D$22:D35,1,0))</f>
        <v>#N/A</v>
      </c>
      <c r="F36" s="523" t="n">
        <f aca="false">IF(AND(OR(A36="",A36="!!!!!!"),B36="",C36=""),"",IF(OR(AND(B36="",C36=""),ISERROR(C36+B36)),"!!!",($B36*$B$7+$C36*$C$7)/100))</f>
        <v>0.1325</v>
      </c>
      <c r="G36" s="524" t="str">
        <f aca="false">IF(A36="","",IF(ISERROR(VLOOKUP($A36,'liste reference'!$A$6:$Q$1174,9,0)),IF(ISERROR(VLOOKUP($A36,'liste reference'!$B$6:$Q$1174,8,0)),"    -",VLOOKUP($A36,'liste reference'!$B$6:$Q$1174,8,0)),VLOOKUP($A36,'liste reference'!$A$6:$Q$1174,9,0)))</f>
        <v>PTE</v>
      </c>
      <c r="H36" s="525" t="n">
        <f aca="false">IF(A36="","x",IF(ISERROR(VLOOKUP($A36,'liste reference'!$A$6:$Q$1174,10,0)),IF(ISERROR(VLOOKUP($A36,'liste reference'!$B$6:$Q$1174,9,0)),"x",VLOOKUP($A36,'liste reference'!$B$6:$Q$1174,9,0)),VLOOKUP($A36,'liste reference'!$A$6:$Q$1174,10,0)))</f>
        <v>6</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Osmunda regalis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1403</v>
      </c>
      <c r="R36" s="513" t="n">
        <f aca="false">IF(ISTEXT(H36),"",(B36*$B$7/100)+(C36*$C$7/100))</f>
        <v>0.1325</v>
      </c>
      <c r="S36" s="514" t="n">
        <f aca="false">IF(OR(ISTEXT(H36),R36=0),"",IF(R36&lt;0.1,1,IF(R36&lt;1,2,IF(R36&lt;10,3,IF(R36&lt;50,4,IF(R36&gt;=50,5,""))))))</f>
        <v>2</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OSMREG</v>
      </c>
      <c r="Z36" s="499" t="n">
        <f aca="false">IF(ISERROR(MATCH(A36,'liste reference'!$A$6:$A$1174,0)),IF(ISERROR(MATCH(A36,'liste reference'!$B$6:$B$1174,0)),"",(MATCH(A36,'liste reference'!$B$6:$B$1174,0))),(MATCH(A36,'liste reference'!$A$6:$A$1174,0)))</f>
        <v>407</v>
      </c>
    </row>
    <row r="37" customFormat="false" ht="12.75" hidden="false" customHeight="false" outlineLevel="0" collapsed="false">
      <c r="A37" s="518" t="s">
        <v>2130</v>
      </c>
      <c r="B37" s="519"/>
      <c r="C37" s="520" t="n">
        <v>0.005</v>
      </c>
      <c r="D37" s="521" t="str">
        <f aca="false">IF(ISERROR(VLOOKUP($A37,'liste reference'!$A$6:$B$1174,2,0)),IF(ISERROR(VLOOKUP($A37,'liste reference'!$B$6:$B$1174,1,0)),"",VLOOKUP($A37,'liste reference'!$B$6:$B$1174,1,0)),VLOOKUP($A37,'liste reference'!$A$6:$B$1174,2,0))</f>
        <v>Lycopus europaeus</v>
      </c>
      <c r="E37" s="522" t="e">
        <f aca="false">IF(D37="",0,VLOOKUP(D37,D$22:D36,1,0))</f>
        <v>#N/A</v>
      </c>
      <c r="F37" s="523" t="n">
        <f aca="false">IF(AND(OR(A37="",A37="!!!!!!"),B37="",C37=""),"",IF(OR(AND(B37="",C37=""),ISERROR(C37+B37)),"!!!",($B37*$B$7+$C37*$C$7)/100))</f>
        <v>0.00225</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11</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Lycopus europaeus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1789</v>
      </c>
      <c r="R37" s="513" t="n">
        <f aca="false">IF(ISTEXT(H37),"",(B37*$B$7/100)+(C37*$C$7/100))</f>
        <v>0.00225</v>
      </c>
      <c r="S37" s="514" t="n">
        <f aca="false">IF(OR(ISTEXT(H37),R37=0),"",IF(R37&lt;0.1,1,IF(R37&lt;1,2,IF(R37&lt;10,3,IF(R37&lt;50,4,IF(R37&gt;=50,5,""))))))</f>
        <v>1</v>
      </c>
      <c r="T37" s="514" t="n">
        <f aca="false">IF(ISERROR(S37*J37),0,S37*J37)</f>
        <v>11</v>
      </c>
      <c r="U37" s="514" t="n">
        <f aca="false">IF(ISERROR(S37*J37*K37),0,S37*J37*K37)</f>
        <v>11</v>
      </c>
      <c r="V37" s="530" t="n">
        <f aca="false">IF(ISERROR(S37*K37),0,S37*K37)</f>
        <v>1</v>
      </c>
      <c r="W37" s="531"/>
      <c r="X37" s="532"/>
      <c r="Y37" s="517" t="str">
        <f aca="false">IF(AND(ISNUMBER(F37),OR(A37="",A37="!!!!!!")),"!!!!!!",IF(A37="new.cod","NEWCOD",IF(AND((Z37=""),ISTEXT(A37),A37&lt;&gt;"!!!!!!"),A37,IF(Z37="","",INDEX('liste reference'!$A$6:$A$1174,Z37)))))</f>
        <v>LYCEUR</v>
      </c>
      <c r="Z37" s="499" t="n">
        <f aca="false">IF(ISERROR(MATCH(A37,'liste reference'!$A$6:$A$1174,0)),IF(ISERROR(MATCH(A37,'liste reference'!$B$6:$B$1174,0)),"",(MATCH(A37,'liste reference'!$B$6:$B$1174,0))),(MATCH(A37,'liste reference'!$A$6:$A$1174,0)))</f>
        <v>692</v>
      </c>
    </row>
    <row r="38" customFormat="false" ht="12.75" hidden="false" customHeight="false" outlineLevel="0" collapsed="false">
      <c r="A38" s="518" t="s">
        <v>3194</v>
      </c>
      <c r="B38" s="519" t="n">
        <v>0.005</v>
      </c>
      <c r="C38" s="520"/>
      <c r="D38" s="521" t="str">
        <f aca="false">IF(ISERROR(VLOOKUP($A38,'liste reference'!$A$6:$B$1174,2,0)),IF(ISERROR(VLOOKUP($A38,'liste reference'!$B$6:$B$1174,1,0)),"",VLOOKUP($A38,'liste reference'!$B$6:$B$1174,1,0)),VLOOKUP($A38,'liste reference'!$A$6:$B$1174,2,0))</f>
        <v>Oenanthe sp.</v>
      </c>
      <c r="E38" s="522" t="e">
        <f aca="false">IF(D38="",0,VLOOKUP(D38,D$22:D37,1,0))</f>
        <v>#N/A</v>
      </c>
      <c r="F38" s="523" t="n">
        <f aca="false">IF(AND(OR(A38="",A38="!!!!!!"),B38="",C38=""),"",IF(OR(AND(B38="",C38=""),ISERROR(C38+B38)),"!!!",($B38*$B$7+$C38*$C$7)/100))</f>
        <v>0.00275</v>
      </c>
      <c r="G38" s="524" t="str">
        <f aca="false">IF(A38="","",IF(ISERROR(VLOOKUP($A38,'liste reference'!$A$6:$Q$1174,9,0)),IF(ISERROR(VLOOKUP($A38,'liste reference'!$B$6:$Q$1174,8,0)),"    -",VLOOKUP($A38,'liste reference'!$B$6:$Q$1174,8,0)),VLOOKUP($A38,'liste reference'!$A$6:$Q$1174,9,0)))</f>
        <v>PHx</v>
      </c>
      <c r="H38" s="525" t="n">
        <f aca="false">IF(A38="","x",IF(ISERROR(VLOOKUP($A38,'liste reference'!$A$6:$Q$1174,10,0)),IF(ISERROR(VLOOKUP($A38,'liste reference'!$B$6:$Q$1174,9,0)),"x",VLOOKUP($A38,'liste reference'!$B$6:$Q$1174,9,0)),VLOOKUP($A38,'liste reference'!$A$6:$Q$1174,10,0)))</f>
        <v>10</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Oenanthe sp.</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1984</v>
      </c>
      <c r="R38" s="513" t="n">
        <f aca="false">IF(ISTEXT(H38),"",(B38*$B$7/100)+(C38*$C$7/100))</f>
        <v>0.00275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OENSPX</v>
      </c>
      <c r="Z38" s="499" t="n">
        <f aca="false">IF(ISERROR(MATCH(A38,'liste reference'!$A$6:$A$1174,0)),IF(ISERROR(MATCH(A38,'liste reference'!$B$6:$B$1174,0)),"",(MATCH(A38,'liste reference'!$B$6:$B$1174,0))),(MATCH(A38,'liste reference'!$A$6:$A$1174,0)))</f>
        <v>1103</v>
      </c>
    </row>
    <row r="39" customFormat="false" ht="12.75" hidden="false" customHeight="false" outlineLevel="0" collapsed="false">
      <c r="A39" s="518" t="s">
        <v>3463</v>
      </c>
      <c r="B39" s="519"/>
      <c r="C39" s="520" t="n">
        <v>0.005</v>
      </c>
      <c r="D39" s="521" t="str">
        <f aca="false">IF(ISERROR(VLOOKUP($A39,'liste reference'!$A$6:$B$1174,2,0)),IF(ISERROR(VLOOKUP($A39,'liste reference'!$B$6:$B$1174,1,0)),"",VLOOKUP($A39,'liste reference'!$B$6:$B$1174,1,0)),VLOOKUP($A39,'liste reference'!$A$6:$B$1174,2,0))</f>
        <v/>
      </c>
      <c r="E39" s="522" t="n">
        <f aca="false">IF(D39="",0,VLOOKUP(D39,D$22:D38,1,0))</f>
        <v>0</v>
      </c>
      <c r="F39" s="523" t="n">
        <f aca="false">IF(AND(OR(A39="",A39="!!!!!!"),B39="",C39=""),"",IF(OR(AND(B39="",C39=""),ISERROR(C39+B39)),"!!!",($B39*$B$7+$C39*$C$7)/100))</f>
        <v>0.00225</v>
      </c>
      <c r="G39" s="524" t="str">
        <f aca="false">IF(A39="","",IF(ISERROR(VLOOKUP($A39,'liste reference'!$A$6:$Q$1174,9,0)),IF(ISERROR(VLOOKUP($A39,'liste reference'!$B$6:$Q$1174,8,0)),"    -",VLOOKUP($A39,'liste reference'!$B$6:$Q$1174,8,0)),VLOOKUP($A39,'liste reference'!$A$6:$Q$1174,9,0)))</f>
        <v>    -</v>
      </c>
      <c r="H39" s="525" t="str">
        <f aca="false">IF(A39="","x",IF(ISERROR(VLOOKUP($A39,'liste reference'!$A$6:$Q$1174,10,0)),IF(ISERROR(VLOOKUP($A39,'liste reference'!$B$6:$Q$1174,9,0)),"x",VLOOKUP($A39,'liste reference'!$B$6:$Q$1174,9,0)),VLOOKUP($A39,'liste reference'!$A$6:$Q$1174,10,0)))</f>
        <v>x</v>
      </c>
      <c r="I39" s="309" t="n">
        <f aca="false">IF(A39="","",1)</f>
        <v>1</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Coleochaete sp.</v>
      </c>
      <c r="M39" s="527"/>
      <c r="N39" s="527"/>
      <c r="O39" s="527"/>
      <c r="P39" s="528" t="s">
        <v>3462</v>
      </c>
      <c r="Q39" s="529" t="str">
        <f aca="false">IF(OR($A39="NEWCOD",$A39="!!!!!!"),IF(X39="","NoCod",X39),IF($A39="","",IF(ISERROR(VLOOKUP($A39,'liste reference'!$A$6:$H$1174,8,FALSE())),IF(ISERROR(VLOOKUP($A39,'liste reference'!$B$6:$H$1174,7,FALSE())),"",VLOOKUP($A39,'liste reference'!$B$6:$H$1174,7,FALSE())),VLOOKUP($A39,'liste reference'!$A$6:$H$1174,8,FALSE()))))</f>
        <v>NoCod</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t="s">
        <v>3464</v>
      </c>
      <c r="X39" s="532"/>
      <c r="Y39" s="517" t="str">
        <f aca="false">IF(AND(ISNUMBER(F39),OR(A39="",A39="!!!!!!")),"!!!!!!",IF(A39="new.cod","NEWCOD",IF(AND((Z39=""),ISTEXT(A39),A39&lt;&gt;"!!!!!!"),A39,IF(Z39="","",INDEX('liste reference'!$A$6:$A$1174,Z39)))))</f>
        <v>NEWCOD</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33"/>
      <c r="N58" s="533"/>
      <c r="O58" s="533"/>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0.75775</v>
      </c>
      <c r="G83" s="452"/>
      <c r="H83" s="452"/>
      <c r="I83" s="452"/>
      <c r="J83" s="452"/>
      <c r="K83" s="452"/>
      <c r="L83" s="452"/>
      <c r="M83" s="514"/>
      <c r="N83" s="514"/>
      <c r="O83" s="514"/>
      <c r="P83" s="514"/>
      <c r="Q83" s="514"/>
      <c r="R83" s="514"/>
      <c r="S83" s="514"/>
      <c r="T83" s="514"/>
      <c r="U83" s="514"/>
      <c r="V83" s="514" t="n">
        <f aca="false">SUM(V23:V82)</f>
        <v>24</v>
      </c>
      <c r="W83" s="514"/>
      <c r="X83" s="552"/>
      <c r="Y83" s="552"/>
      <c r="Z83" s="553"/>
    </row>
    <row r="84" customFormat="false" ht="12.75" hidden="true" customHeight="false" outlineLevel="0" collapsed="false">
      <c r="A84" s="547" t="str">
        <f aca="false">A3</f>
        <v>LIAMONE</v>
      </c>
      <c r="B84" s="481" t="str">
        <f aca="false">C3</f>
        <v>Murzo</v>
      </c>
      <c r="C84" s="554" t="str">
        <f aca="false">A4</f>
        <v>(Date)</v>
      </c>
      <c r="D84" s="555" t="n">
        <f aca="false">IF(OR(ISERROR(SUM($U$23:$U$82)/SUM($V$23:$V$82)),F7&lt;&gt;100),-1,SUM($U$23:$U$82)/SUM($V$23:$V$82))</f>
        <v>13.8333333333333</v>
      </c>
      <c r="E84" s="556" t="n">
        <f aca="false">O13</f>
        <v>17</v>
      </c>
      <c r="F84" s="481" t="n">
        <f aca="false">O14</f>
        <v>11</v>
      </c>
      <c r="G84" s="481" t="n">
        <f aca="false">O15</f>
        <v>5</v>
      </c>
      <c r="H84" s="481" t="n">
        <f aca="false">O16</f>
        <v>4</v>
      </c>
      <c r="I84" s="481" t="n">
        <f aca="false">O17</f>
        <v>2</v>
      </c>
      <c r="J84" s="557" t="n">
        <f aca="false">O8</f>
        <v>12.4545454545455</v>
      </c>
      <c r="K84" s="558" t="n">
        <f aca="false">O9</f>
        <v>2.31059364129797</v>
      </c>
      <c r="L84" s="559" t="n">
        <f aca="false">O10</f>
        <v>9</v>
      </c>
      <c r="M84" s="559" t="n">
        <f aca="false">O11</f>
        <v>16</v>
      </c>
      <c r="N84" s="558" t="n">
        <f aca="false">P8</f>
        <v>1.72727272727273</v>
      </c>
      <c r="O84" s="558" t="n">
        <f aca="false">P9</f>
        <v>0.74965556829412</v>
      </c>
      <c r="P84" s="559" t="n">
        <f aca="false">P10</f>
        <v>1</v>
      </c>
      <c r="Q84" s="559" t="n">
        <f aca="false">P11</f>
        <v>3</v>
      </c>
      <c r="R84" s="559" t="n">
        <f aca="false">F21</f>
        <v>0.75775</v>
      </c>
      <c r="S84" s="559" t="n">
        <f aca="false">L11</f>
        <v>0</v>
      </c>
      <c r="T84" s="559" t="n">
        <f aca="false">L12</f>
        <v>6</v>
      </c>
      <c r="U84" s="559" t="n">
        <f aca="false">L13</f>
        <v>5</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32</v>
      </c>
      <c r="U87" s="309"/>
      <c r="V87" s="309"/>
    </row>
    <row r="88" customFormat="false" ht="12.75" hidden="true" customHeight="false" outlineLevel="0" collapsed="false">
      <c r="C88" s="563"/>
      <c r="D88" s="563"/>
      <c r="E88" s="563"/>
      <c r="R88" s="309" t="s">
        <v>3445</v>
      </c>
      <c r="S88" s="309"/>
      <c r="T88" s="565" t="n">
        <f aca="false">VLOOKUP($T$91,($A$23:$U$82),21,FALSE())</f>
        <v>96</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13.1111111111111</v>
      </c>
      <c r="U90" s="309" t="n">
        <f aca="false">IF(ISERROR(T90),0,1)</f>
        <v>1</v>
      </c>
    </row>
    <row r="91" customFormat="false" ht="12.75" hidden="true" customHeight="false" outlineLevel="0" collapsed="false">
      <c r="C91" s="563"/>
      <c r="D91" s="563"/>
      <c r="E91" s="563"/>
      <c r="R91" s="514" t="s">
        <v>3449</v>
      </c>
      <c r="S91" s="514"/>
      <c r="T91" s="514" t="str">
        <f aca="false">INDEX('liste reference'!$A$6:$A$1174,$U$91)</f>
        <v>FONSQU</v>
      </c>
      <c r="U91" s="309" t="n">
        <f aca="false">IF(ISERROR(MATCH($T$93,'liste reference'!$A$6:$A$1174,0)),MATCH($T$93,'liste reference'!$B$6:$B$1174,0),(MATCH($T$93,'liste reference'!$A$6:$A$1174,0)))</f>
        <v>277</v>
      </c>
      <c r="V91" s="567"/>
    </row>
    <row r="92" customFormat="false" ht="12.75" hidden="true" customHeight="false" outlineLevel="0" collapsed="false">
      <c r="C92" s="563"/>
      <c r="D92" s="563"/>
      <c r="E92" s="563"/>
      <c r="R92" s="309" t="s">
        <v>3450</v>
      </c>
      <c r="S92" s="309"/>
      <c r="T92" s="309" t="n">
        <f aca="false">MATCH(T89,$V$23:$V$82,0)</f>
        <v>11</v>
      </c>
      <c r="U92" s="309"/>
    </row>
    <row r="93" customFormat="false" ht="12.75" hidden="true" customHeight="false" outlineLevel="0" collapsed="false">
      <c r="C93" s="563"/>
      <c r="D93" s="563"/>
      <c r="E93" s="563"/>
      <c r="R93" s="514" t="s">
        <v>3451</v>
      </c>
      <c r="S93" s="309"/>
      <c r="T93" s="514" t="str">
        <f aca="false">INDEX($A$23:$A$82,$T$92)</f>
        <v>FONSQU</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3459</v>
      </c>
      <c r="G24" s="8"/>
      <c r="H24" s="605" t="s">
        <v>3459</v>
      </c>
      <c r="I24" s="606"/>
    </row>
    <row r="25" customFormat="false" ht="15" hidden="false" customHeight="false" outlineLevel="0" collapsed="false">
      <c r="A25" s="594" t="s">
        <v>1351</v>
      </c>
      <c r="B25" s="596" t="s">
        <v>1352</v>
      </c>
      <c r="C25" s="597"/>
      <c r="D25" s="598"/>
      <c r="F25" s="605" t="s">
        <v>3480</v>
      </c>
      <c r="G25" s="8"/>
      <c r="H25" s="605" t="s">
        <v>3480</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2016-04-13T14:32:22Z</dcterms:modified>
  <cp:revision>0</cp:revision>
  <dc:subject/>
  <dc:title>Feuille d'aide au calcul de l'IBMR</dc:title>
</cp:coreProperties>
</file>