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ruzzini a Azzana" sheetId="6" state="visible" r:id="rId8"/>
    <sheet name="modele" sheetId="7" state="hidden" r:id="rId9"/>
    <sheet name="liste codes réf" sheetId="8" state="hidden" r:id="rId10"/>
  </sheets>
  <definedNames>
    <definedName function="false" hidden="false" localSheetId="5" name="_xlnm.Print_Area" vbProcedure="false">'Cruzzini a Azzana'!$A$1:$O$82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'Cruzzini a Azzana'!$A$23:$J$84</definedName>
    <definedName function="false" hidden="false" localSheetId="5" name="NOM" vbProcedure="false">'Cruzzini a Azzana'!$H$1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<sst xmlns="http://schemas.openxmlformats.org/spreadsheetml/2006/main" count="7378" uniqueCount="3131">
  <si>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</si>
  <si>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</si>
  <si>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</si>
  <si>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</si>
  <si>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</si>
  <si>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</si>
  <si>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</si>
  <si>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</si>
  <si>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</si>
  <si>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</si>
  <si>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</si>
  <si>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</si>
  <si>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</si>
  <si>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</si>
  <si>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</si>
  <si>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</si>
  <si>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</si>
  <si>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</si>
  <si>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</si>
  <si>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</si>
  <si>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</si>
  <si>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</si>
  <si>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</si>
  <si>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</si>
  <si>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</si>
  <si>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</si>
  <si>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</si>
  <si>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</si>
  <si>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</si>
  <si>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</si>
  <si>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</si>
  <si>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</si>
  <si>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</si>
  <si>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</si>
  <si>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</si>
  <si>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</si>
  <si>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</si>
  <si>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</si>
  <si>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</si>
  <si>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</si>
  <si>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</si>
  <si>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</si>
  <si>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</si>
  <si>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</si>
  <si>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</si>
  <si>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</si>
  <si>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</si>
  <si>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</si>
  <si>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</si>
  <si>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</si>
  <si>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</si>
  <si>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</si>
  <si>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</si>
  <si>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</si>
  <si>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</si>
  <si>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</si>
  <si>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</si>
  <si>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</si>
  <si>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</si>
  <si>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</si>
  <si>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</si>
  <si>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</si>
  <si>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</si>
  <si>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</si>
  <si>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</si>
  <si>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</si>
  <si>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</si>
  <si>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</si>
  <si>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</si>
  <si>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</si>
  <si>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</si>
  <si>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</si>
  <si>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</si>
  <si>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</si>
  <si>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</si>
  <si>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</si>
  <si>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</si>
  <si>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</si>
  <si>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</si>
  <si>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</si>
  <si>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</si>
  <si>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</si>
  <si>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</si>
  <si>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</si>
  <si>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</si>
  <si>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</si>
  <si>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</si>
  <si>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</si>
  <si>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</si>
  <si>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</si>
  <si>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</si>
  <si>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</si>
  <si>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</si>
  <si>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</si>
  <si>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</si>
  <si>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</si>
  <si>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</si>
  <si>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</si>
  <si>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</si>
  <si>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</si>
  <si>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</si>
  <si>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</si>
  <si>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</si>
  <si>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</si>
  <si>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</si>
  <si>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</si>
  <si>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</si>
  <si>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</si>
  <si>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</si>
  <si>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</si>
  <si>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</si>
  <si>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</si>
  <si>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</si>
  <si>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</si>
  <si>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</si>
  <si>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</si>
  <si>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</si>
  <si>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</si>
  <si>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</si>
  <si>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</si>
  <si>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</si>
  <si>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</si>
  <si>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</si>
  <si>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</si>
  <si>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</si>
  <si>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</si>
  <si>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</si>
  <si>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</si>
  <si>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</si>
  <si>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</si>
  <si>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</si>
  <si>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</si>
  <si>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</si>
  <si>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</si>
  <si>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</si>
  <si>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</si>
  <si>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</si>
  <si>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</si>
  <si>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</si>
  <si>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</si>
  <si>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</si>
  <si>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</si>
  <si>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</si>
  <si>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</si>
  <si>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</si>
  <si>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</si>
  <si>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</si>
  <si>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</si>
  <si>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</si>
  <si>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</si>
  <si>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</si>
  <si>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</si>
  <si>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</si>
  <si>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</si>
  <si>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</si>
  <si>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</si>
  <si>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</si>
  <si>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</si>
  <si>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</si>
  <si>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</si>
  <si>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</si>
  <si>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</si>
  <si>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</si>
  <si>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</si>
  <si>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</si>
  <si>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</si>
  <si>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</si>
  <si>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</si>
  <si>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</si>
  <si>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</si>
  <si>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</si>
  <si>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</si>
  <si>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</si>
  <si>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</si>
  <si>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</si>
  <si>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</si>
  <si>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</si>
  <si>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</si>
  <si>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</si>
  <si>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</si>
  <si>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</si>
  <si>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</si>
  <si>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</si>
  <si>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</si>
  <si>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</si>
  <si>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</si>
  <si>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</si>
  <si>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</si>
  <si>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</si>
  <si>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</si>
  <si>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</si>
  <si>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</si>
  <si>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</si>
  <si>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</si>
  <si>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</si>
  <si>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</si>
  <si>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</si>
  <si>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</si>
  <si>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</si>
  <si>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</si>
  <si>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</si>
  <si>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</si>
  <si>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</si>
  <si>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</si>
  <si>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</si>
  <si>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</si>
  <si>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</si>
  <si>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</si>
  <si>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</si>
  <si>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</si>
  <si>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</si>
  <si>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</si>
  <si>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</si>
  <si>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</si>
  <si>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</si>
  <si>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</si>
  <si>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</si>
  <si>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</si>
  <si>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</si>
  <si>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</si>
  <si>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</si>
  <si>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</si>
  <si>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</si>
  <si>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</si>
  <si>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</si>
  <si>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</si>
  <si>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</si>
  <si>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</si>
  <si>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</si>
  <si>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</si>
  <si>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</si>
  <si>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</si>
  <si>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</si>
  <si>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</si>
  <si>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</si>
  <si>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</si>
  <si>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</si>
  <si>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</si>
  <si>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</si>
  <si>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</si>
  <si>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</si>
  <si>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</si>
  <si>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</si>
  <si>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</si>
  <si>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</si>
  <si>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</si>
  <si>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</si>
  <si>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</si>
  <si>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</si>
  <si>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</si>
  <si>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</si>
  <si>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</si>
  <si>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</si>
  <si>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</si>
  <si>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</si>
  <si>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</si>
  <si>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</si>
  <si>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</si>
  <si>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</si>
  <si>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</si>
  <si>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</si>
  <si>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</si>
  <si>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</si>
  <si>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</si>
  <si>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</si>
  <si>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</si>
  <si>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</si>
  <si>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</si>
  <si>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</si>
  <si>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</si>
  <si>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</si>
  <si>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</si>
  <si>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</si>
  <si>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</si>
  <si>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</si>
  <si>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</si>
  <si>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</si>
  <si>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</si>
  <si>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</si>
  <si>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</si>
  <si>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</si>
  <si>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</si>
  <si>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</si>
  <si>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</si>
  <si>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</si>
  <si>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</si>
  <si>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</si>
  <si>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</si>
  <si>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</si>
  <si>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</si>
  <si>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</si>
  <si>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</si>
  <si>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</si>
  <si>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</si>
  <si>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</si>
  <si>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</si>
  <si>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</si>
  <si>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</si>
  <si>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</si>
  <si>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</si>
  <si>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</si>
  <si>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</si>
  <si>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</si>
  <si>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</si>
  <si>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</si>
  <si>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</si>
  <si>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</si>
  <si>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</si>
  <si>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</si>
  <si>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</si>
  <si>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</si>
  <si>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</si>
  <si>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</si>
  <si>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</si>
  <si>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</si>
  <si>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</si>
  <si>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</si>
  <si>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</si>
  <si>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</si>
  <si>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</si>
  <si>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</si>
  <si>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</si>
  <si>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</si>
  <si>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</si>
  <si>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</si>
  <si>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</si>
  <si>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</si>
  <si>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</si>
  <si>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</si>
  <si>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</si>
  <si>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</si>
  <si>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</si>
  <si>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</si>
  <si>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</si>
  <si>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</si>
  <si>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</si>
  <si>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</si>
  <si>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</si>
  <si>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</si>
  <si>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</si>
  <si>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</si>
  <si>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</si>
  <si>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</si>
  <si>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</si>
  <si>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</si>
  <si>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</si>
  <si>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</si>
  <si>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</si>
  <si>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</si>
  <si>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</si>
  <si>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</si>
  <si>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</si>
  <si>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</si>
  <si>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</si>
  <si>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</si>
  <si>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</si>
  <si>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</si>
  <si>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</si>
  <si>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</si>
  <si>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</si>
  <si>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</si>
  <si>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</si>
  <si>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</si>
  <si>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</si>
  <si>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</si>
  <si>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</si>
  <si>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</si>
  <si>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</si>
  <si>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</si>
  <si>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</si>
  <si>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</si>
  <si>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</si>
  <si>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</si>
  <si>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</si>
  <si>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</si>
  <si>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</si>
  <si>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</si>
  <si>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</si>
  <si>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</si>
  <si>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</si>
  <si>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</si>
  <si>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</si>
  <si>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</si>
  <si>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</si>
  <si>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</si>
  <si>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</si>
  <si>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</si>
  <si>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</si>
  <si>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</si>
  <si>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</si>
  <si>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</si>
  <si>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</si>
  <si>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</si>
  <si>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</si>
  <si>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</si>
  <si>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</si>
  <si>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</si>
  <si>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</si>
  <si>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</si>
  <si>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</si>
  <si>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</si>
  <si>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</si>
  <si>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</si>
  <si>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</si>
  <si>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</si>
  <si>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</si>
  <si>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</si>
  <si>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</si>
  <si>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</si>
  <si>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</si>
  <si>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</si>
  <si>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</si>
  <si>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</si>
  <si>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</si>
  <si>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</si>
  <si>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</si>
  <si>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</si>
  <si>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</si>
  <si>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</si>
  <si>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</si>
  <si>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</si>
  <si>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</si>
  <si>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</si>
  <si>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</si>
  <si>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</si>
  <si>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</si>
  <si>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</si>
  <si>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</si>
  <si>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</si>
  <si>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</si>
  <si>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</si>
  <si>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</si>
  <si>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</si>
  <si>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</si>
  <si>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</si>
  <si>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</si>
  <si>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</si>
  <si>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</si>
  <si>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</si>
  <si>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</si>
  <si>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</si>
  <si>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</si>
  <si>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</si>
  <si>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</si>
  <si>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</si>
  <si>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</si>
  <si>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</si>
  <si>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</si>
  <si>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</si>
  <si>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</si>
  <si>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</si>
  <si>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</si>
  <si>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</si>
  <si>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</si>
  <si>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</si>
  <si>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</si>
  <si>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</si>
  <si>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</si>
  <si>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</si>
  <si>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</si>
  <si>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</si>
  <si>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</si>
  <si>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</si>
  <si>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</si>
  <si>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</si>
  <si>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</si>
  <si>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</si>
  <si>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</si>
  <si>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</si>
  <si>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</si>
  <si>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</si>
  <si>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</si>
  <si>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</si>
  <si>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</si>
  <si>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</si>
  <si>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</si>
  <si>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</si>
  <si>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</si>
  <si>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</si>
  <si>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</si>
  <si>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</si>
  <si>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</si>
  <si>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</si>
  <si>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</si>
  <si>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</si>
  <si>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</si>
  <si>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</si>
  <si>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</si>
  <si>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</si>
  <si>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</si>
  <si>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</si>
  <si>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</si>
  <si>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</si>
  <si>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</si>
  <si>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</si>
  <si>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</si>
  <si>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</si>
  <si>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</si>
  <si>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</si>
  <si>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</si>
  <si>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</si>
  <si>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</si>
  <si>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</si>
  <si>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</si>
  <si>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</si>
  <si>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</si>
  <si>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</si>
  <si>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</si>
  <si>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</si>
  <si>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</si>
  <si>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</si>
  <si>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</si>
  <si>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</si>
  <si>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</si>
  <si>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</si>
  <si>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</si>
  <si>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</si>
  <si>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</si>
  <si>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</si>
  <si>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</si>
  <si>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</si>
  <si>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</si>
  <si>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</si>
  <si>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</si>
  <si>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</si>
  <si>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</si>
  <si>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</si>
  <si>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</si>
  <si>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</si>
  <si>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</si>
  <si>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</si>
  <si>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</si>
  <si>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</si>
  <si>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</si>
  <si>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</si>
  <si>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</si>
  <si>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</si>
  <si>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</si>
  <si>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</si>
  <si>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</si>
  <si>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</si>
  <si>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</si>
  <si>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</si>
  <si>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</si>
  <si>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</si>
  <si>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</si>
  <si>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</si>
  <si>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</si>
  <si>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</si>
  <si>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</si>
  <si>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</si>
  <si>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</si>
  <si>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</si>
  <si>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</si>
  <si>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</si>
  <si>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</si>
  <si>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</si>
  <si>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</si>
  <si>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</si>
  <si>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</si>
  <si>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</si>
  <si>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</si>
  <si>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</si>
  <si>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</si>
  <si>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</si>
  <si>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</si>
  <si>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</si>
  <si>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</si>
  <si>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</si>
  <si>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</si>
  <si>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</si>
  <si>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</si>
  <si>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</si>
  <si>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</si>
  <si>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</si>
  <si>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</si>
  <si>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</si>
  <si>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</si>
  <si>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</si>
  <si>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</si>
  <si>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</si>
  <si>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</si>
  <si>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</si>
  <si>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</si>
  <si>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</si>
  <si>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</si>
  <si>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</si>
  <si>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</si>
  <si>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</si>
  <si>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</si>
  <si>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</si>
  <si>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</si>
  <si>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</si>
  <si>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</si>
  <si>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</si>
  <si>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</si>
  <si>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</si>
  <si>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</si>
  <si>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</si>
  <si>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</si>
  <si>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</si>
  <si>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</si>
  <si>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</si>
  <si>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</si>
  <si>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</si>
  <si>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</si>
  <si>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</si>
  <si>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</si>
  <si>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</si>
  <si>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</si>
  <si>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</si>
  <si>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</si>
  <si>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</si>
  <si>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</si>
  <si>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</si>
  <si>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</si>
  <si>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</si>
  <si>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</si>
  <si>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</si>
  <si>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</si>
  <si>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</si>
  <si>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</si>
  <si>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</si>
  <si>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</si>
  <si>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</si>
  <si>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</si>
  <si>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</si>
  <si>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</si>
  <si>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</si>
  <si>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</si>
  <si>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</si>
  <si>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</si>
  <si>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</si>
  <si>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</si>
  <si>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</si>
  <si>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</si>
  <si>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</si>
  <si>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</si>
  <si>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</si>
  <si>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</si>
  <si>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</si>
  <si>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</si>
  <si>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</si>
  <si>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</si>
  <si>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</si>
  <si>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</si>
  <si>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</si>
  <si>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</si>
  <si>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</si>
  <si>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</si>
  <si>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</si>
  <si>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</si>
  <si>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</si>
  <si>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</si>
  <si>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</si>
  <si>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</si>
  <si>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</si>
  <si>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</si>
  <si>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</si>
  <si>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</si>
  <si>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</si>
  <si>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</si>
  <si>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</si>
  <si>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</si>
  <si>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</si>
  <si>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</si>
  <si>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</si>
  <si>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</si>
  <si>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</si>
  <si>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</si>
  <si>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</si>
  <si>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</si>
  <si>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</si>
  <si>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</si>
  <si>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</si>
  <si>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</si>
  <si>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</si>
  <si>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</si>
  <si>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</si>
  <si>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</si>
  <si>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</si>
  <si>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</si>
  <si>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</si>
  <si>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</si>
  <si>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</si>
  <si>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</si>
  <si>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</si>
  <si>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</si>
  <si>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</si>
  <si>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</si>
  <si>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</si>
  <si>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</si>
  <si>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</si>
  <si>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</si>
  <si>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</si>
  <si>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</si>
  <si>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</si>
  <si>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</si>
  <si>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</si>
  <si>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</si>
  <si>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</si>
  <si>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</si>
  <si>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</si>
  <si>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</si>
  <si>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</si>
  <si>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</si>
  <si>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</si>
  <si>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</si>
  <si>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</si>
  <si>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</si>
  <si>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</si>
  <si>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</si>
  <si>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</si>
  <si>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</si>
  <si>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</si>
  <si>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</si>
  <si>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</si>
  <si>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</si>
  <si>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</si>
  <si>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</si>
  <si>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</si>
  <si>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</si>
  <si>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</si>
  <si>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</si>
  <si>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</si>
  <si>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</si>
  <si>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</si>
  <si>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</si>
  <si>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</si>
  <si>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</si>
  <si>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</si>
  <si>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</si>
  <si>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</si>
  <si>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</si>
  <si>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</si>
  <si>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</si>
  <si>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</si>
  <si>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</si>
  <si>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</si>
  <si>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</si>
  <si>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</si>
  <si>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</si>
  <si>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</si>
  <si>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</si>
  <si>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</si>
  <si>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</si>
  <si>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</si>
  <si>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</si>
  <si>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</si>
  <si>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</si>
  <si>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</si>
  <si>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</si>
  <si>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</si>
  <si>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</si>
  <si>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</si>
  <si>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</si>
  <si>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</si>
  <si>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</si>
  <si>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</si>
  <si>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</si>
  <si>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</si>
  <si>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</si>
  <si>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</si>
  <si>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</si>
  <si>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</si>
  <si>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</si>
  <si>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</si>
  <si>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</si>
  <si>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</si>
  <si>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</si>
  <si>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</si>
  <si>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</si>
  <si>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</si>
  <si>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</si>
  <si>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</si>
  <si>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</si>
  <si>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</si>
  <si>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</si>
  <si>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</si>
  <si>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</si>
  <si>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</si>
  <si>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</si>
  <si>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</si>
  <si>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</si>
  <si>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</si>
  <si>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</si>
  <si>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</si>
  <si>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</si>
  <si>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</si>
  <si>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</si>
  <si>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</si>
  <si>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</si>
  <si>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</si>
  <si>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</si>
  <si>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</si>
  <si>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</si>
  <si>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</si>
  <si>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</si>
  <si>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</si>
  <si>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</si>
  <si>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</si>
  <si>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</si>
  <si>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</si>
  <si>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</si>
  <si>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</si>
  <si>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</si>
  <si>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</si>
  <si>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</si>
  <si>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</si>
  <si>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</si>
  <si>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</si>
  <si>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</si>
  <si>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</si>
  <si>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</si>
  <si>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</si>
  <si>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</si>
  <si>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</si>
  <si>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</si>
  <si>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</si>
  <si>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</si>
  <si>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</si>
  <si>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</si>
  <si>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</si>
  <si>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</si>
  <si>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</si>
  <si>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</si>
  <si>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</si>
  <si>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</si>
  <si>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</si>
  <si>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</si>
  <si>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</si>
  <si>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</si>
  <si>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</si>
  <si>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</si>
  <si>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</si>
  <si>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</si>
  <si>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</si>
  <si>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</si>
  <si>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</si>
  <si>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</si>
  <si>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</si>
  <si>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</si>
  <si>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</si>
  <si>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</si>
  <si>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</si>
  <si>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</si>
  <si>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</si>
  <si>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</si>
  <si>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</si>
  <si>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</si>
  <si>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</si>
  <si>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</si>
  <si>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</si>
  <si>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</si>
  <si>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</si>
  <si>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</si>
  <si>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</si>
  <si>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</si>
  <si>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</si>
  <si>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</si>
  <si>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</si>
  <si>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</si>
  <si>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</si>
  <si>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</si>
  <si>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</si>
  <si>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</si>
  <si>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</si>
  <si>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</si>
  <si>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</si>
  <si>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</si>
  <si>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</si>
  <si>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</si>
  <si>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</si>
  <si>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</si>
  <si>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</si>
  <si>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</si>
  <si>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</si>
  <si>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</si>
  <si>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</si>
  <si>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</si>
  <si>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</si>
  <si>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</si>
  <si>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</si>
  <si>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</si>
  <si>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</si>
  <si>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</si>
  <si>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</si>
  <si>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</si>
  <si>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</si>
  <si>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</si>
  <si>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</si>
  <si>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</si>
  <si>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</si>
  <si>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</si>
  <si>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</si>
  <si>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</si>
  <si>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</si>
  <si>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</si>
  <si>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</si>
  <si>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</si>
  <si>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</si>
  <si>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</si>
  <si>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</si>
  <si>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</si>
  <si>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</si>
  <si>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</si>
  <si>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</si>
  <si>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</si>
  <si>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</si>
  <si>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</si>
  <si>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</si>
  <si>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</si>
  <si>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</si>
  <si>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</si>
  <si>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</si>
  <si>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</si>
  <si>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</si>
  <si>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</si>
  <si>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</si>
  <si>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</si>
  <si>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</si>
  <si>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</si>
  <si>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</si>
  <si>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</si>
  <si>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</si>
  <si>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</si>
  <si>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</si>
  <si>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</si>
  <si>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</si>
  <si>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</si>
  <si>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</si>
  <si>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</si>
  <si>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</si>
  <si>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</si>
  <si>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</si>
  <si>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</si>
  <si>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</si>
  <si>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</si>
  <si>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</si>
  <si>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</si>
  <si>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</si>
  <si>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</si>
  <si>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</si>
  <si>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</si>
  <si>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</si>
  <si>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</si>
  <si>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</si>
  <si>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</si>
  <si>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</si>
  <si>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</si>
  <si>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</si>
  <si>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</si>
  <si>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</si>
  <si>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</si>
  <si>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</si>
  <si>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</si>
  <si>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</si>
  <si>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</si>
  <si>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</si>
  <si>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</si>
  <si>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</si>
  <si>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</si>
  <si>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</si>
  <si>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</si>
  <si>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</si>
  <si>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</si>
  <si>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</si>
  <si>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</si>
  <si>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</si>
  <si>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</si>
  <si>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</si>
  <si>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</si>
  <si>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</si>
  <si>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</si>
  <si>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</si>
  <si>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</si>
  <si>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</si>
  <si>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</si>
  <si>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</si>
  <si>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</si>
  <si>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</si>
  <si>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</si>
  <si>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</si>
  <si>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</si>
  <si>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</si>
  <si>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</si>
  <si>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</si>
  <si>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</si>
  <si>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</si>
  <si>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</si>
  <si>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</si>
  <si>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</si>
  <si>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</si>
  <si>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</si>
  <si>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</si>
  <si>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</si>
  <si>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</si>
  <si>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</si>
  <si>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</si>
  <si>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</si>
  <si>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</si>
  <si>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</si>
  <si>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</si>
  <si>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</si>
  <si>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</si>
  <si>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</si>
  <si>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</si>
  <si>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</si>
  <si>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</si>
  <si>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</si>
  <si>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</si>
  <si>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</si>
  <si>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</si>
  <si>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</si>
  <si>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</si>
  <si>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</si>
  <si>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</si>
  <si>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</si>
  <si>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</si>
  <si>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</si>
  <si>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</si>
  <si>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</si>
  <si>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</si>
  <si>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</si>
  <si>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</si>
  <si>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</si>
  <si>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</si>
  <si>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</si>
  <si>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</si>
  <si>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</si>
  <si>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</si>
  <si>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</si>
  <si>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</si>
  <si>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</si>
  <si>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</si>
  <si>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</si>
  <si>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</si>
  <si>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</si>
  <si>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</si>
  <si>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</si>
  <si>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</si>
  <si>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</si>
  <si>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</si>
  <si>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</si>
  <si>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</si>
  <si>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</si>
  <si>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</si>
  <si>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</si>
  <si>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</si>
  <si>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</si>
  <si>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</si>
  <si>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</si>
  <si>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</si>
  <si>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</si>
  <si>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</si>
  <si>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</si>
  <si>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</si>
  <si>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</si>
  <si>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</si>
  <si>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</si>
  <si>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</si>
  <si>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</si>
  <si>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</si>
  <si>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</si>
  <si>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</si>
  <si>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</si>
  <si>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</si>
  <si>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</si>
  <si>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</si>
  <si>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</si>
  <si>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</si>
  <si>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</si>
  <si>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</si>
  <si>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</si>
  <si>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</si>
  <si>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</si>
  <si>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</si>
  <si>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</si>
  <si>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</si>
  <si>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</si>
  <si>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</si>
  <si>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</si>
  <si>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</si>
  <si>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</si>
  <si>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</si>
  <si>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</si>
  <si>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</si>
  <si>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</si>
  <si>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</si>
  <si>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</si>
  <si>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</si>
  <si>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</si>
  <si>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</si>
  <si>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</si>
  <si>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</si>
  <si>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</si>
  <si>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</si>
  <si>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</si>
  <si>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</si>
  <si>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</si>
  <si>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</si>
  <si>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</si>
  <si>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</si>
  <si>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</si>
  <si>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</si>
  <si>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</si>
  <si>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</si>
  <si>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</si>
  <si>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</si>
  <si>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</si>
  <si>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</si>
  <si>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</si>
  <si>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</si>
  <si>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</si>
  <si>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</si>
  <si>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</si>
  <si>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</si>
  <si>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</si>
  <si>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</si>
  <si>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</si>
  <si>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</si>
  <si>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</si>
  <si>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</si>
  <si>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</si>
  <si>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</si>
  <si>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</si>
  <si>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</si>
  <si>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</si>
  <si>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</si>
  <si>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</si>
  <si>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</si>
  <si>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</si>
  <si>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</si>
  <si>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</si>
  <si>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</si>
  <si>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</si>
  <si>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</si>
  <si>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</si>
  <si>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</si>
  <si>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</si>
  <si>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</si>
  <si>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</si>
  <si>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</si>
  <si>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</si>
  <si>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</si>
  <si>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</si>
  <si>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</si>
  <si>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</si>
  <si>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</si>
  <si>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</si>
  <si>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</si>
  <si>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</si>
  <si>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</si>
  <si>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</si>
  <si>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</si>
  <si>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</si>
  <si>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</si>
  <si>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</si>
  <si>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</si>
  <si>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</si>
  <si>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</si>
  <si>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</si>
  <si>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</si>
  <si>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</si>
  <si>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</si>
  <si>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</si>
  <si>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</si>
  <si>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</si>
  <si>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</si>
  <si>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</si>
  <si>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</si>
  <si>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</si>
  <si>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</si>
  <si>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</si>
  <si>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</si>
  <si>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</si>
  <si>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</si>
  <si>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</si>
  <si>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</si>
  <si>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</si>
  <si>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</si>
  <si>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</si>
  <si>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</si>
  <si>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</si>
  <si>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</si>
  <si>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</si>
  <si>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</si>
  <si>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</si>
  <si>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</si>
  <si>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</si>
  <si>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</si>
  <si>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</si>
  <si>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</si>
  <si>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</si>
  <si>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</si>
  <si>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</si>
  <si>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</si>
  <si>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</si>
  <si>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</si>
  <si>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</si>
  <si>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</si>
  <si>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</si>
  <si>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</si>
  <si>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</si>
  <si>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</si>
  <si>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</si>
  <si>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</si>
  <si>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</si>
  <si>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</si>
  <si>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</si>
  <si>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</si>
  <si>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</si>
  <si>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</si>
  <si>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</si>
  <si>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</si>
  <si>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</si>
  <si>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</si>
  <si>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</si>
  <si>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</si>
  <si>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</si>
  <si>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</si>
  <si>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</si>
  <si>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</si>
  <si>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</si>
  <si>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</si>
  <si>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</si>
  <si>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</si>
  <si>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</si>
  <si>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</si>
  <si>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</si>
  <si>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</si>
  <si>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</si>
  <si>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</si>
  <si>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</si>
  <si>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</si>
  <si>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</si>
  <si>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</si>
  <si>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</si>
  <si>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</si>
  <si>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</si>
  <si>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</si>
  <si>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</si>
  <si>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</si>
  <si>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</si>
  <si>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</si>
  <si>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</si>
  <si>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</si>
  <si>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</si>
  <si>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</si>
  <si>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</si>
  <si>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</si>
  <si>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</si>
  <si>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</si>
  <si>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</si>
  <si>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</si>
  <si>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</si>
  <si>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</si>
  <si>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</si>
  <si>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</si>
  <si>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</si>
  <si>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</si>
  <si>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</si>
  <si>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</si>
  <si>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</si>
  <si>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</si>
  <si>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</si>
  <si>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</si>
  <si>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</si>
  <si>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</si>
  <si>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</si>
  <si>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</si>
  <si>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</si>
  <si>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</si>
  <si>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</si>
  <si>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</si>
  <si>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</si>
  <si>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</si>
  <si>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</si>
  <si>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</si>
  <si>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</si>
  <si>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</si>
  <si>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</si>
  <si>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</si>
  <si>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</si>
  <si>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</si>
  <si>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</si>
  <si>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</si>
  <si>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</si>
  <si>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</si>
  <si>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</si>
  <si>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</si>
  <si>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</si>
  <si>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</si>
  <si>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</si>
  <si>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</si>
  <si>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</si>
  <si>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</si>
  <si>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</si>
  <si>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</si>
  <si>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</si>
  <si>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</si>
  <si>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</si>
  <si>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</si>
  <si>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</si>
  <si>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</si>
  <si>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</si>
  <si>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</si>
  <si>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</si>
  <si>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</si>
  <si>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</si>
  <si>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</si>
  <si>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</si>
  <si>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</si>
  <si>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</si>
  <si>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</si>
  <si>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</si>
  <si>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</si>
  <si>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</si>
  <si>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</si>
  <si>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</si>
  <si>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</si>
  <si>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</si>
  <si>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</si>
  <si>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</si>
  <si>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</si>
  <si>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</si>
  <si>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</si>
  <si>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</si>
  <si>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</si>
  <si>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</si>
  <si>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</si>
  <si>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</si>
  <si>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</si>
  <si>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</si>
  <si>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</si>
  <si>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</si>
  <si>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</si>
  <si>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</si>
  <si>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</si>
  <si>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</si>
  <si>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</si>
  <si>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</si>
  <si>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</si>
  <si>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</si>
  <si>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</si>
  <si>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</si>
  <si>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</si>
  <si>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</si>
  <si>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</si>
  <si>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</si>
  <si>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</si>
  <si>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</si>
  <si>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</si>
  <si>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</si>
  <si>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</si>
  <si>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</si>
  <si>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</si>
  <si>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</si>
  <si>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</si>
  <si>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</si>
  <si>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</si>
  <si>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</si>
  <si>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</si>
  <si>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</si>
  <si>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</si>
  <si>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</si>
  <si>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</si>
  <si>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</si>
  <si>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</si>
  <si>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</si>
  <si>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</si>
  <si>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</si>
  <si>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</si>
  <si>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</si>
  <si>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</si>
  <si>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</si>
  <si>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</si>
  <si>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</si>
  <si>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</si>
  <si>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</si>
  <si>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</si>
  <si>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</si>
  <si>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</si>
  <si>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</si>
  <si>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</si>
  <si>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</si>
  <si>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</si>
  <si>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</si>
  <si>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</si>
  <si>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</si>
  <si>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</si>
  <si>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</si>
  <si>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</si>
  <si>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</si>
  <si>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</si>
  <si>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</si>
  <si>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</si>
  <si>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</si>
  <si>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</si>
  <si>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</si>
  <si>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</si>
  <si>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</si>
  <si>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</si>
  <si>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</si>
  <si>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</si>
  <si>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</si>
  <si>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</si>
  <si>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</si>
  <si>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</si>
  <si>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</si>
  <si>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</si>
  <si>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</si>
  <si>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</si>
  <si>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</si>
  <si>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</si>
  <si>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</si>
  <si>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</si>
  <si>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</si>
  <si>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</si>
  <si>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</si>
  <si>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</si>
  <si>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</si>
  <si>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</si>
  <si>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</si>
  <si>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</si>
  <si>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</si>
  <si>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</si>
  <si>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</si>
  <si>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</si>
  <si>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</si>
  <si>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</si>
  <si>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</si>
  <si>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</si>
  <si>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</si>
  <si>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</si>
  <si>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</si>
  <si>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</si>
  <si>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</si>
  <si>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</si>
  <si>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</si>
  <si>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</si>
  <si>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</si>
  <si>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</si>
  <si>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</si>
  <si>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</si>
  <si>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</si>
  <si>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</si>
  <si>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</si>
  <si>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</si>
  <si>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</si>
  <si>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</si>
  <si>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</si>
  <si>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</si>
  <si>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</si>
  <si>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</si>
  <si>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</si>
  <si>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</si>
  <si>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</si>
  <si>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</si>
  <si>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</si>
  <si>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</si>
  <si>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</si>
  <si>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</si>
  <si>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</si>
  <si>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</si>
  <si>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</si>
  <si>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</si>
  <si>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</si>
  <si>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</si>
  <si>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</si>
  <si>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</si>
  <si>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</si>
  <si>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</si>
  <si>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</si>
  <si>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</si>
  <si>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</si>
  <si>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</si>
  <si>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</si>
  <si>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</si>
  <si>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</si>
  <si>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</si>
  <si>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</si>
  <si>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</si>
  <si>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</si>
  <si>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</si>
  <si>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</si>
  <si>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</si>
  <si>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</si>
  <si>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</si>
  <si>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</si>
  <si>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</si>
  <si>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</si>
  <si>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</si>
  <si>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</si>
  <si>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</si>
  <si>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</si>
  <si>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</si>
  <si>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</si>
  <si>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</si>
  <si>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</si>
  <si>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</si>
  <si>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</si>
  <si>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</si>
  <si>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</si>
  <si>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</si>
  <si>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</si>
  <si>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</si>
  <si>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</si>
  <si>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</si>
  <si>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</si>
  <si>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</si>
  <si>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</si>
  <si>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</si>
  <si>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</si>
  <si>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</si>
  <si>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</si>
  <si>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</si>
  <si>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</si>
  <si>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</si>
  <si>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</si>
  <si>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</si>
  <si>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</si>
  <si>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</si>
  <si>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</si>
  <si>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</si>
  <si>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</si>
  <si>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</si>
  <si>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</si>
  <si>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</si>
  <si>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</si>
  <si>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</si>
  <si>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</si>
  <si>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</si>
  <si>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</si>
  <si>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</si>
  <si>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</si>
  <si>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</si>
  <si>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</si>
  <si>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</si>
  <si>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</si>
  <si>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</si>
  <si>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</si>
  <si>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</si>
  <si>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</si>
  <si>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</si>
  <si>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</si>
  <si>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</si>
  <si>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</si>
  <si>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</si>
  <si>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</si>
  <si>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</si>
  <si>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</si>
  <si>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</si>
  <si>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</si>
  <si>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</si>
  <si>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</si>
  <si>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</si>
  <si>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</si>
  <si>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</si>
  <si>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</si>
  <si>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</si>
  <si>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</si>
  <si>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</si>
  <si>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</si>
  <si>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</si>
  <si>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</si>
  <si>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</si>
  <si>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</si>
  <si>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</si>
  <si>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</si>
  <si>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</si>
  <si>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</si>
  <si>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</si>
  <si>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</si>
  <si>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</si>
  <si>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</si>
  <si>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</si>
  <si>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</si>
  <si>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</si>
  <si>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</si>
  <si>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</si>
  <si>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</si>
  <si>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</si>
  <si>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</si>
  <si>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</si>
  <si>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</si>
  <si>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</si>
  <si>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</si>
  <si>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</si>
  <si>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</si>
  <si>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</si>
  <si>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</si>
  <si>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</si>
  <si>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</si>
  <si>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</si>
  <si>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</si>
  <si>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</si>
  <si>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</si>
  <si>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</si>
  <si>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</si>
  <si>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</si>
  <si>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</si>
  <si>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</si>
  <si>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</si>
  <si>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</si>
  <si>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</si>
  <si>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</si>
  <si>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</si>
  <si>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</si>
  <si>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</si>
  <si>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</si>
  <si>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</si>
  <si>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</si>
  <si>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</si>
  <si>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</si>
  <si>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</si>
  <si>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</si>
  <si>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</si>
  <si>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</si>
  <si>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</si>
  <si>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</si>
  <si>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</si>
  <si>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</si>
  <si>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</si>
  <si>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</si>
  <si>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</si>
  <si>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</si>
  <si>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</si>
  <si>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</si>
  <si>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</si>
  <si>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</si>
  <si>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</si>
  <si>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</si>
  <si>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</si>
  <si>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</si>
  <si>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</si>
  <si>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</si>
  <si>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</si>
  <si>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</si>
  <si>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</si>
  <si>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</si>
  <si>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</si>
  <si>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</si>
  <si>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</si>
  <si>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</si>
  <si>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</si>
  <si>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</si>
  <si>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</si>
  <si>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</si>
  <si>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</si>
  <si>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</si>
  <si>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</si>
  <si>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</si>
  <si>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</si>
  <si>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</si>
  <si>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</si>
  <si>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</si>
  <si>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</si>
  <si>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</si>
  <si>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</si>
  <si>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</si>
  <si>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</si>
  <si>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</si>
  <si>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</si>
  <si>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</si>
  <si>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</si>
  <si>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</si>
  <si>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</si>
  <si>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</si>
  <si>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</si>
  <si>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</si>
  <si>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</si>
  <si>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</si>
  <si>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</si>
  <si>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</si>
  <si>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</si>
  <si>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</si>
  <si>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</si>
  <si>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</si>
  <si>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</si>
  <si>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</si>
  <si>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</si>
  <si>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</si>
  <si>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</si>
  <si>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</si>
  <si>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</si>
  <si>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</si>
  <si>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</si>
  <si>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</si>
  <si>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</si>
  <si>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</si>
  <si>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</si>
  <si>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</si>
  <si>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</si>
  <si>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</si>
  <si>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</si>
  <si>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</si>
  <si>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</si>
  <si>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</si>
  <si>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</si>
  <si>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</si>
  <si>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</si>
  <si>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</si>
  <si>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</si>
  <si>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</si>
  <si>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</si>
  <si>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</si>
  <si>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</si>
  <si>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</si>
  <si>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</si>
  <si>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</si>
  <si>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</si>
  <si>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</si>
  <si>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</si>
  <si>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</si>
  <si>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</si>
  <si>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</si>
  <si>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</si>
  <si>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</si>
  <si>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</si>
  <si>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</si>
  <si>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</si>
  <si>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</si>
  <si>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</si>
  <si>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</si>
  <si>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</si>
  <si>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</si>
  <si>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</si>
  <si>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</si>
  <si>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</si>
  <si>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</si>
  <si>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</si>
  <si>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</si>
  <si>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</si>
  <si>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</si>
  <si>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</si>
  <si>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</si>
  <si>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</si>
  <si>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</si>
  <si>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</si>
  <si>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</si>
  <si>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</si>
  <si>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</si>
  <si>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</si>
  <si>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</si>
  <si>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</si>
  <si>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</si>
  <si>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</si>
  <si>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</si>
  <si>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</si>
  <si>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</si>
  <si>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</si>
  <si>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</si>
  <si>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</si>
  <si>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</si>
  <si>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</si>
  <si>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</si>
  <si>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</si>
  <si>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</si>
  <si>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</si>
  <si>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</si>
  <si>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</si>
  <si>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</si>
  <si>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</si>
  <si>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</si>
  <si>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</si>
  <si>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</si>
  <si>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</si>
  <si>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</si>
  <si>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</si>
  <si>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</si>
  <si>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</si>
  <si>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</si>
  <si>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</si>
  <si>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</si>
  <si>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</si>
  <si>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</si>
  <si>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</si>
  <si>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</si>
  <si>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</si>
  <si>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</si>
  <si>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</si>
  <si>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</si>
  <si>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</si>
  <si>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</si>
  <si>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</si>
  <si>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</si>
  <si>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</si>
  <si>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</si>
  <si>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</si>
  <si>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</si>
  <si>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</si>
  <si>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</si>
  <si>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</si>
  <si>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</si>
  <si>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</si>
  <si>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</si>
  <si>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</si>
  <si>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</si>
  <si>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</si>
  <si>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</si>
  <si>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</si>
  <si>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</si>
  <si>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</si>
  <si>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</si>
  <si>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</si>
  <si>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</si>
  <si>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</si>
  <si>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</si>
  <si>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</si>
  <si>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</si>
  <si>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</si>
  <si>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</si>
  <si>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</si>
  <si>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</si>
  <si>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</si>
  <si>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</si>
  <si>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</si>
  <si>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</si>
  <si>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</si>
  <si>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</si>
  <si>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</si>
  <si>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</si>
  <si>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</si>
  <si>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</si>
  <si>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</si>
  <si>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</si>
  <si>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</si>
  <si>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</si>
  <si>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</si>
  <si>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</si>
  <si>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</si>
  <si>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</si>
  <si>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</si>
  <si>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</si>
  <si>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</si>
  <si>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</si>
  <si>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</si>
  <si>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</si>
  <si>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</si>
  <si>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</si>
  <si>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</si>
  <si>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</si>
  <si>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</si>
  <si>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</si>
  <si>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</si>
  <si>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</si>
  <si>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</si>
  <si>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</si>
  <si>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</si>
  <si>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</si>
  <si>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</si>
  <si>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</si>
  <si>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</si>
  <si>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</si>
  <si>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</si>
  <si>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</si>
  <si>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</si>
  <si>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</si>
  <si>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</si>
  <si>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</si>
  <si>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</si>
  <si>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</si>
  <si>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</si>
  <si>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</si>
  <si>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</si>
  <si>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</si>
  <si>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</si>
  <si>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</si>
  <si>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</si>
  <si>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</si>
  <si>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</si>
  <si>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</si>
  <si>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</si>
  <si>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</si>
  <si>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</si>
  <si>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</si>
  <si>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</si>
  <si>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</si>
  <si>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</si>
  <si>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</si>
  <si>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</si>
  <si>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</si>
  <si>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</si>
  <si>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</si>
  <si>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</si>
  <si>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</si>
  <si>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</si>
  <si>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</si>
  <si>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</si>
  <si>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</si>
  <si>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</si>
  <si>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</si>
  <si>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</si>
  <si>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</si>
  <si>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</si>
  <si>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</si>
  <si>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</si>
  <si>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</si>
  <si>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</si>
  <si>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</si>
  <si>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</si>
  <si>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</si>
  <si>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</si>
  <si>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</si>
  <si>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</si>
  <si>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</si>
  <si>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</si>
  <si>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</si>
  <si>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</si>
  <si>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</si>
  <si>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</si>
  <si>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</si>
  <si>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</si>
  <si>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</si>
  <si>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</si>
  <si>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</si>
  <si>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</si>
  <si>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</si>
  <si>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</si>
  <si>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</si>
  <si>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</si>
  <si>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</si>
  <si>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</si>
  <si>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</si>
  <si>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</si>
  <si>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</si>
  <si>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</si>
  <si>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</si>
  <si>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</si>
  <si>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</si>
  <si>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</si>
  <si>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</si>
  <si>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</si>
  <si>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</si>
  <si>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</si>
  <si>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</si>
  <si>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</si>
  <si>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</si>
  <si>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</si>
  <si>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</si>
  <si>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</si>
  <si>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</si>
  <si>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</si>
  <si>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</si>
  <si>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</si>
  <si>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</si>
  <si>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</si>
  <si>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</si>
  <si>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</si>
  <si>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</si>
  <si>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</si>
  <si>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</si>
  <si>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</si>
  <si>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</si>
  <si>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</si>
  <si>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</si>
  <si>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</si>
  <si>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</si>
  <si>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</si>
  <si>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</si>
  <si>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</si>
  <si>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</si>
  <si>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</si>
  <si>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</si>
  <si>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</si>
  <si>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</si>
  <si>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</si>
  <si>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</si>
  <si>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</si>
  <si>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</si>
  <si>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</si>
  <si>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</si>
  <si>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</si>
  <si>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</si>
  <si>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</si>
  <si>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</si>
  <si>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</si>
  <si>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</si>
  <si>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</si>
  <si>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</si>
  <si>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</si>
  <si>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</si>
  <si>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</si>
  <si>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</si>
  <si>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</si>
  <si>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</si>
  <si>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</si>
  <si>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</si>
  <si>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</si>
  <si>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</si>
  <si>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</si>
  <si>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</si>
  <si>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</si>
  <si>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</si>
  <si>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</si>
  <si>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</si>
  <si>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</si>
  <si>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</si>
  <si>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</si>
  <si>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</si>
  <si>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</si>
  <si>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</si>
  <si>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</si>
  <si>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</si>
  <si>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</si>
  <si>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</si>
  <si>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</si>
  <si>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</si>
  <si>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</si>
  <si>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</si>
  <si>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</si>
  <si>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</si>
  <si>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</si>
  <si>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</si>
  <si>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</si>
  <si>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</si>
  <si>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</si>
  <si>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</si>
  <si>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</si>
  <si>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</si>
  <si>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</si>
  <si>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</si>
  <si>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</si>
  <si>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</si>
  <si>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</si>
  <si>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</si>
  <si>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</si>
  <si>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</si>
  <si>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</si>
  <si>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</si>
  <si>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</si>
  <si>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</si>
  <si>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</si>
  <si>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</si>
  <si>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</si>
  <si>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</si>
  <si>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</si>
  <si>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</si>
  <si>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</si>
  <si>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</si>
  <si>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</si>
  <si>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</si>
  <si>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</si>
  <si>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</si>
  <si>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</si>
  <si>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</si>
  <si>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</si>
  <si>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</si>
  <si>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</si>
  <si>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</si>
  <si>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</si>
  <si>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</si>
  <si>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</si>
  <si>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</si>
  <si>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</si>
  <si>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</si>
  <si>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</si>
  <si>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</si>
  <si>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</si>
  <si>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</si>
  <si>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</si>
  <si>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</si>
  <si>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</si>
  <si>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</si>
  <si>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</si>
  <si>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</si>
  <si>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</si>
  <si>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</si>
  <si>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</si>
  <si>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</si>
  <si>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</si>
  <si>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</si>
  <si>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</si>
  <si>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</si>
  <si>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</si>
  <si>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</si>
  <si>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</si>
  <si>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</si>
  <si>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</si>
  <si>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</si>
  <si>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</si>
  <si>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</si>
  <si>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</si>
  <si>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</si>
  <si>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</si>
  <si>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</si>
  <si>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</si>
  <si>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</si>
  <si>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</si>
  <si>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</si>
  <si>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</si>
  <si>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</si>
  <si>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</si>
  <si>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</si>
  <si>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</si>
  <si>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</si>
  <si>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</si>
  <si>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</si>
  <si>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</si>
  <si>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</si>
  <si>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</si>
  <si>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</si>
  <si>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</si>
  <si>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</si>
  <si>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</si>
  <si>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</si>
  <si>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</si>
  <si>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</si>
  <si>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</si>
  <si>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</si>
  <si>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</si>
  <si>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</si>
  <si>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</si>
  <si>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</si>
  <si>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</si>
  <si>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</si>
  <si>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</si>
  <si>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</si>
  <si>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</si>
  <si>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</si>
  <si>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</si>
  <si>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</si>
  <si>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</si>
  <si>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</si>
  <si>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</si>
  <si>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</si>
  <si>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</si>
  <si>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</si>
  <si>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</si>
  <si>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</si>
  <si>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</si>
  <si>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</si>
  <si>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</si>
  <si>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</si>
  <si>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</si>
  <si>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</si>
  <si>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</si>
  <si>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</si>
  <si>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</si>
  <si>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</si>
  <si>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</si>
  <si>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</si>
  <si>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</si>
  <si>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</si>
  <si>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</si>
  <si>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</si>
  <si>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</si>
  <si>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</si>
  <si>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</si>
  <si>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</si>
  <si>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</si>
  <si>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</si>
  <si>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</si>
  <si>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</si>
  <si>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</si>
  <si>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</si>
  <si>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</si>
  <si>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</si>
  <si>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</si>
  <si>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</si>
  <si>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</si>
  <si>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</si>
  <si>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</si>
  <si>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</si>
  <si>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</si>
  <si>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</si>
  <si>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</si>
  <si>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</si>
  <si>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</si>
  <si>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</si>
  <si>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</si>
  <si>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</si>
  <si>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</si>
  <si>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</si>
  <si>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</si>
  <si>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</si>
  <si>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</si>
  <si>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</si>
  <si>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</si>
  <si>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</si>
  <si>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</si>
  <si>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</si>
  <si>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</si>
  <si>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</si>
  <si>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</si>
  <si>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</si>
  <si>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</si>
  <si>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</si>
  <si>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</si>
  <si>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</si>
  <si>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</si>
  <si>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</si>
  <si>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</si>
  <si>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</si>
  <si>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</si>
  <si>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</si>
  <si>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</si>
  <si>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</si>
  <si>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</si>
  <si>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</si>
  <si>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</si>
  <si>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</si>
  <si>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</si>
  <si>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</si>
  <si>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</si>
  <si>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</si>
  <si>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</si>
  <si>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</si>
  <si>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</si>
  <si>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</si>
  <si>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</si>
  <si>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</si>
  <si>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</si>
  <si>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</si>
  <si>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</si>
  <si>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</si>
  <si>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</si>
  <si>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</si>
  <si>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</si>
  <si>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</si>
  <si>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</si>
  <si>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</si>
  <si>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</si>
  <si>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</si>
  <si>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</si>
  <si>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</si>
  <si>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</si>
  <si>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</si>
  <si>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</si>
  <si>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</si>
  <si>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</si>
  <si>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</si>
  <si>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</si>
  <si>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</si>
  <si>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</si>
  <si>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</si>
  <si>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</si>
  <si>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</si>
  <si>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</si>
  <si>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</si>
  <si>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</si>
  <si>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</si>
  <si>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</si>
  <si>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</si>
  <si>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</si>
  <si>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</si>
  <si>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</si>
  <si>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</si>
  <si>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</si>
  <si>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</si>
  <si>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</si>
  <si>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</si>
  <si>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</si>
  <si>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</si>
  <si>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</si>
  <si>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</si>
  <si>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</si>
  <si>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</si>
  <si>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</si>
  <si>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</si>
  <si>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</si>
  <si>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</si>
  <si>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</si>
  <si>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</si>
  <si>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</si>
  <si>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</si>
  <si>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</si>
  <si>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</si>
  <si>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</si>
  <si>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</si>
  <si>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</si>
  <si>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</si>
  <si>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</si>
  <si>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</si>
  <si>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</si>
  <si>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</si>
  <si>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</si>
  <si>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</si>
  <si>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</si>
  <si>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</si>
  <si>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</si>
  <si>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</si>
  <si>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</si>
  <si>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</si>
  <si>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</si>
  <si>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</si>
  <si>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</si>
  <si>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</si>
  <si>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</si>
  <si>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</si>
  <si>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</si>
  <si>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</si>
  <si>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</si>
  <si>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</si>
  <si>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</si>
  <si>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</si>
  <si>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</si>
  <si>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</si>
  <si>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</si>
  <si>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</si>
  <si>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</si>
  <si>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</si>
  <si>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</si>
  <si>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</si>
  <si>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</si>
  <si>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</si>
  <si>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</si>
  <si>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</si>
  <si>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</si>
  <si>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</si>
  <si>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</si>
  <si>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</si>
  <si>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</si>
  <si>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</si>
  <si>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</si>
  <si>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</si>
  <si>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</si>
  <si>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</si>
  <si>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</si>
  <si>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</si>
  <si>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</si>
  <si>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</si>
  <si>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</si>
  <si>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</si>
  <si>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</si>
  <si>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</si>
  <si>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</si>
  <si>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</si>
  <si>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</si>
  <si>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</si>
  <si>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</si>
  <si>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</si>
  <si>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</si>
  <si>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</si>
  <si>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</si>
  <si>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</si>
  <si>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</si>
  <si>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</si>
  <si>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</si>
  <si>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</si>
  <si>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</si>
  <si>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</si>
  <si>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</si>
  <si>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</si>
  <si>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</si>
  <si>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</si>
  <si>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</si>
  <si>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</si>
  <si>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</si>
  <si>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</si>
  <si>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</si>
  <si>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</si>
  <si>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</si>
  <si>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</si>
  <si>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</si>
  <si>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</si>
  <si>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</si>
  <si>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</si>
  <si>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</si>
  <si>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</si>
  <si>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</si>
  <si>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</si>
  <si>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</si>
  <si>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</si>
  <si>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</si>
  <si>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</si>
  <si>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</si>
  <si>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</si>
  <si>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</si>
  <si>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</si>
  <si>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</si>
  <si>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</si>
  <si>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</si>
  <si>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</si>
  <si>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</si>
  <si>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</si>
  <si>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</si>
  <si>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</si>
  <si>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</si>
  <si>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</si>
  <si>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</si>
  <si>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</si>
  <si>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</si>
  <si>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</si>
  <si>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</si>
  <si>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</si>
  <si>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</si>
  <si>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</si>
  <si>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</si>
  <si>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</si>
  <si>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</si>
  <si>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</si>
  <si>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</si>
  <si>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</si>
  <si>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</si>
  <si>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</si>
  <si>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</si>
  <si>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</si>
  <si>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</si>
  <si>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</si>
  <si>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</si>
  <si>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</si>
  <si>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</si>
  <si>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</si>
  <si>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</si>
  <si>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</si>
  <si>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</si>
  <si>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</si>
  <si>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</si>
  <si>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</si>
  <si>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</si>
  <si>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</si>
  <si>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</si>
  <si>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</si>
  <si>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</si>
  <si>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</si>
  <si>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</si>
  <si>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</si>
  <si>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</si>
  <si>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</si>
  <si>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</si>
  <si>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</si>
  <si>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</si>
  <si>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</si>
  <si>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</si>
  <si>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</si>
  <si>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</si>
  <si>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</si>
  <si>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</si>
  <si>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</si>
  <si>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</si>
  <si>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</si>
  <si>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</si>
  <si>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</si>
  <si>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</si>
  <si>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</si>
  <si>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</si>
  <si>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</si>
  <si>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</si>
  <si>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</si>
  <si>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</si>
  <si>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</si>
  <si>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</si>
  <si>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</si>
  <si>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</si>
  <si>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</si>
  <si>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</si>
  <si>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</si>
  <si>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</si>
  <si>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</si>
  <si>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</si>
  <si>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</si>
  <si>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</si>
  <si>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</si>
  <si>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</si>
  <si>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</si>
  <si>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</si>
  <si>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</si>
  <si>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</si>
  <si>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</si>
  <si>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</si>
  <si>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</si>
  <si>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</si>
  <si>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</si>
  <si>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</si>
  <si>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</si>
  <si>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</si>
  <si>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</si>
  <si>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</si>
  <si>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</si>
  <si>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</si>
  <si>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</si>
  <si>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</si>
  <si>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</si>
  <si>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</si>
  <si>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</si>
  <si>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</si>
  <si>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</si>
  <si>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</si>
  <si>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</si>
  <si>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</si>
  <si>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</si>
  <si>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</si>
  <si>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</si>
  <si>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</si>
  <si>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</si>
  <si>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</si>
  <si>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</si>
  <si>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</si>
  <si>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</si>
  <si>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</si>
  <si>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</si>
  <si>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</si>
  <si>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</si>
  <si>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</si>
  <si>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</si>
  <si>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</si>
  <si>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</si>
  <si>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</si>
  <si>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</si>
  <si>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</si>
  <si>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</si>
  <si>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</si>
  <si>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</si>
  <si>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</si>
  <si>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</si>
  <si>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</si>
  <si>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</si>
  <si>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</si>
  <si>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</si>
  <si>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</si>
  <si>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</si>
  <si>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</si>
  <si>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</si>
  <si>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</si>
  <si>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</si>
  <si>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</si>
  <si>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</si>
  <si>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</si>
  <si>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</si>
  <si>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</si>
  <si>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</si>
  <si>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</si>
  <si>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</si>
  <si>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</si>
  <si>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</si>
  <si>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</si>
  <si>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</si>
  <si>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</si>
  <si>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</si>
  <si>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</si>
  <si>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</si>
  <si>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</si>
  <si>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</si>
  <si>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</si>
  <si>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</si>
  <si>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</si>
  <si>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</si>
  <si>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</si>
  <si>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</si>
  <si>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</si>
  <si>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</si>
  <si>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</si>
  <si>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</si>
  <si>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</si>
  <si>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</si>
  <si>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</si>
  <si>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</si>
  <si>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</si>
  <si>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</si>
  <si>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</si>
  <si>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</si>
  <si>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</si>
  <si>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</si>
  <si>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</si>
  <si>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</si>
  <si>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</si>
  <si>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</si>
  <si>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</si>
  <si>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</si>
  <si>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</si>
  <si>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</si>
  <si>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</si>
  <si>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</si>
  <si>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</si>
  <si>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</si>
  <si>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</si>
  <si>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</si>
  <si>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</si>
  <si>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</si>
  <si>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</si>
  <si>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</si>
  <si>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</si>
  <si>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</si>
  <si>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</si>
  <si>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</si>
  <si>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</si>
  <si>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</si>
  <si>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</si>
  <si>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</si>
  <si>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</si>
  <si>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</si>
  <si>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</si>
  <si>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</si>
  <si>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</si>
  <si>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</si>
  <si>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</si>
  <si>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</si>
  <si>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</si>
  <si>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</si>
  <si>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</si>
  <si>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</si>
  <si>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</si>
  <si>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</si>
  <si>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</si>
  <si>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</si>
  <si>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</si>
  <si>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</si>
  <si>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</si>
  <si>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</si>
  <si>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</si>
  <si>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</si>
  <si>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</si>
  <si>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</si>
  <si>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</si>
  <si>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</si>
  <si>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</si>
  <si>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</si>
  <si>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</si>
  <si>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</si>
  <si>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</si>
  <si>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</si>
  <si>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</si>
  <si>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CRUZZINI</t>
  </si>
  <si>
    <t xml:space="preserve">Azzana</t>
  </si>
  <si>
    <t xml:space="preserve">06215850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</si>
  <si>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</si>
  <si>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</si>
  <si>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</si>
  <si>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</si>
  <si>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</si>
  <si>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</si>
  <si>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</si>
  <si>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</si>
  <si>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</si>
  <si>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</si>
  <si>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</si>
  <si>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faible</t>
  </si>
  <si>
    <t xml:space="preserve">(très 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</si>
  <si>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</si>
  <si>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</si>
  <si>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</si>
  <si>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</si>
  <si>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</si>
  <si>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</si>
  <si>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</si>
  <si>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</si>
  <si>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</si>
  <si>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</si>
  <si>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</si>
  <si>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</si>
  <si>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</si>
  <si>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</si>
  <si>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</si>
  <si>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</si>
  <si>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</si>
  <si>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</si>
  <si>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</si>
  <si>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</si>
  <si>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</si>
  <si>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</si>
  <si>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</si>
  <si>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</si>
  <si>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</si>
  <si>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</si>
  <si>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</si>
  <si>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</si>
  <si>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</si>
  <si>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</si>
  <si>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</si>
  <si>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</si>
  <si>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</si>
  <si>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</si>
  <si>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</si>
  <si>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</si>
  <si>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(0,6519 %)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</si>
  <si>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</si>
  <si>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</si>
  <si>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</si>
  <si>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</si>
  <si>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</si>
  <si>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</si>
  <si>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</si>
  <si>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</si>
  <si>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</si>
  <si>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</si>
  <si>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</si>
  <si>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</si>
  <si>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</si>
  <si>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</si>
  <si>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</si>
  <si>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</si>
  <si>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</si>
  <si>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</si>
  <si>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Hygrohypnum egyrium</t>
  </si>
  <si>
    <t xml:space="preserve">Bulbochaete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</si>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</sst>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5" borderId="58" xfId="0" applyFont="true" applyBorder="true" applyAlignment="true" applyProtection="true">
      <alignment horizontal="left" vertical="top" textRotation="0" wrapText="false" indent="0" shrinkToFit="false"/>
      <protection locked="true" hidden="true"/>
    </xf>
    <xf numFmtId="172" fontId="37" fillId="2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41076</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14.3181818181818</v>
      </c>
      <c r="M5" s="293"/>
      <c r="N5" s="294"/>
      <c r="O5" s="295" t="n">
        <v>14.6111111111111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83</v>
      </c>
      <c r="C7" s="307" t="n">
        <v>17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8.11764705882353</v>
      </c>
      <c r="O8" s="323" t="n">
        <f aca="false">AVERAGE(J23:J82)</f>
        <v>1.17647058823529</v>
      </c>
      <c r="P8" s="324"/>
      <c r="Q8" s="250"/>
      <c r="R8" s="250"/>
      <c r="S8" s="250"/>
      <c r="T8" s="250"/>
      <c r="U8" s="250"/>
      <c r="V8" s="250"/>
      <c r="W8" s="262"/>
      <c r="X8" s="263"/>
    </row>
    <row r="9" customFormat="false" ht="13.5" hidden="false" customHeight="false" outlineLevel="0" collapsed="false">
      <c r="A9" s="283" t="s">
        <v>2636</v>
      </c>
      <c r="B9" s="325" t="n">
        <v>0.45</v>
      </c>
      <c r="C9" s="326" t="n">
        <v>1.55</v>
      </c>
      <c r="D9" s="327"/>
      <c r="E9" s="327"/>
      <c r="F9" s="328" t="n">
        <f aca="false">($B9*$B$7+$C9*$C$7)/100</f>
        <v>0.637</v>
      </c>
      <c r="G9" s="329"/>
      <c r="H9" s="330"/>
      <c r="I9" s="331"/>
      <c r="J9" s="332"/>
      <c r="K9" s="313"/>
      <c r="L9" s="333"/>
      <c r="M9" s="322" t="s">
        <v>2637</v>
      </c>
      <c r="N9" s="323" t="n">
        <f aca="false">STDEV(I23:I82)</f>
        <v>7.22739884866243</v>
      </c>
      <c r="O9" s="323" t="n">
        <f aca="false">STDEV(J23:J82)</f>
        <v>1.18507880105328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19</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17</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3</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4</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3</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0.47</v>
      </c>
      <c r="C20" s="405" t="n">
        <f aca="false">SUM(C23:C82)</f>
        <v>1.54</v>
      </c>
      <c r="D20" s="406"/>
      <c r="E20" s="407" t="s">
        <v>2660</v>
      </c>
      <c r="F20" s="408" t="n">
        <f aca="false">($B20*$B$7+$C20*$C$7)/100</f>
        <v>0.6519</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0.3901</v>
      </c>
      <c r="C21" s="418" t="n">
        <f aca="false">C20*C7/100</f>
        <v>0.2618</v>
      </c>
      <c r="D21" s="350" t="str">
        <f aca="false">IF(F21=0,"",IF((ABS(F21-F19))&gt;(0.2*F21),CONCATENATE(" rec. par taxa (",F21," %) supérieur à 20 % !"),""))</f>
        <v> rec. par taxa (0,6519 %) supérieur à 20 % !</v>
      </c>
      <c r="E21" s="419" t="str">
        <f aca="false">IF(F21=0,"",IF((ABS(F21-F19))&gt;(0.2*F21),CONCATENATE("ATTENTION : écart entre rec. par grp (",F19," %) ","et",""),""))</f>
        <v>ATTENTION : écart entre rec. par grp (0 %) et</v>
      </c>
      <c r="F21" s="420" t="n">
        <f aca="false">B21+C21</f>
        <v>0.6519</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0.01</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0.0083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0.0083</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221</v>
      </c>
      <c r="B24" s="463" t="n">
        <v>0.005</v>
      </c>
      <c r="C24" s="464" t="n">
        <v>0.15</v>
      </c>
      <c r="D24" s="465" t="str">
        <f aca="false">IF(ISERROR(VLOOKUP($A24,'liste reference'!$A$7:$D$892,2,0)),IF(ISERROR(VLOOKUP($A24,'liste reference'!$B$7:$D$892,1,0)),"",VLOOKUP($A24,'liste reference'!$B$7:$D$892,1,0)),VLOOKUP($A24,'liste reference'!$A$7:$D$892,2,0))</f>
        <v>Batrachospermum sp.</v>
      </c>
      <c r="E24" s="465" t="e">
        <f aca="false">IF(D24="",0,VLOOKUP(D24,D$22:D23,1,0))</f>
        <v>#N/A</v>
      </c>
      <c r="F24" s="466" t="n">
        <f aca="false">($B24*$B$7+$C24*$C$7)/100</f>
        <v>0.02965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16</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Batrachospermum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1155</v>
      </c>
      <c r="Q24" s="455" t="n">
        <f aca="false">IF(ISTEXT(H24),"",(B24*$B$7/100)+(C24*$C$7/100))</f>
        <v>0.02965</v>
      </c>
      <c r="R24" s="456" t="n">
        <f aca="false">IF(OR(ISTEXT(H24),Q24=0),"",IF(Q24&lt;0.1,1,IF(Q24&lt;1,2,IF(Q24&lt;10,3,IF(Q24&lt;50,4,IF(Q24&gt;=50,5,""))))))</f>
        <v>1</v>
      </c>
      <c r="S24" s="456" t="n">
        <f aca="false">IF(ISERROR(R24*I24),0,R24*I24)</f>
        <v>16</v>
      </c>
      <c r="T24" s="456" t="n">
        <f aca="false">IF(ISERROR(R24*I24*J24),0,R24*I24*J24)</f>
        <v>32</v>
      </c>
      <c r="U24" s="470" t="n">
        <f aca="false">IF(ISERROR(R24*J24),0,R24*J24)</f>
        <v>2</v>
      </c>
      <c r="V24" s="457" t="n">
        <v>2</v>
      </c>
      <c r="W24" s="458"/>
      <c r="Y24" s="459" t="str">
        <f aca="false">IF(A24="new.cod","NEWCOD",IF(AND((Z24=""),ISTEXT(A24)),A24,IF(Z24="","",INDEX('liste reference'!$A$7:$A$892,Z24))))</f>
        <v>BATSPX</v>
      </c>
      <c r="Z24" s="250" t="n">
        <f aca="false">IF(ISERROR(MATCH(A24,'liste reference'!$A$7:$A$892,0)),IF(ISERROR(MATCH(A24,'liste reference'!$B$7:$B$892,0)),"",(MATCH(A24,'liste reference'!$B$7:$B$892,0))),(MATCH(A24,'liste reference'!$A$7:$A$892,0)))</f>
        <v>55</v>
      </c>
      <c r="AA24" s="460"/>
      <c r="AB24" s="461"/>
      <c r="AC24" s="461"/>
      <c r="BC24" s="250" t="n">
        <f aca="false">IF(A24="","",1)</f>
        <v>1</v>
      </c>
    </row>
    <row r="25" customFormat="false" ht="12.75" hidden="false" customHeight="false" outlineLevel="0" collapsed="false">
      <c r="A25" s="462" t="s">
        <v>701</v>
      </c>
      <c r="B25" s="463"/>
      <c r="C25" s="464" t="n">
        <v>0.005</v>
      </c>
      <c r="D25" s="465" t="str">
        <f aca="false">IF(ISERROR(VLOOKUP($A25,'liste reference'!$A$7:$D$892,2,0)),IF(ISERROR(VLOOKUP($A25,'liste reference'!$B$7:$D$892,1,0)),"",VLOOKUP($A25,'liste reference'!$B$7:$D$892,1,0)),VLOOKUP($A25,'liste reference'!$A$7:$D$892,2,0))</f>
        <v>Draparnaldia sp.</v>
      </c>
      <c r="E25" s="465" t="e">
        <f aca="false">IF(D25="",0,VLOOKUP(D25,D$22:D24,1,0))</f>
        <v>#N/A</v>
      </c>
      <c r="F25" s="466" t="n">
        <f aca="false">($B25*$B$7+$C25*$C$7)/100</f>
        <v>0.00085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18</v>
      </c>
      <c r="J25" s="451" t="n">
        <f aca="false">IF(ISNUMBER(H25),IF(ISERROR(VLOOKUP($A25,'liste reference'!$A$7:$P$892,4,0)),IF(ISERROR(VLOOKUP($A25,'liste reference'!$B$7:$P$892,3,0)),"",VLOOKUP($A25,'liste reference'!$B$7:$P$892,3,0)),VLOOKUP($A25,'liste reference'!$A$7:$P$892,4,0)),"")</f>
        <v>3</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Draparnaldia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1118</v>
      </c>
      <c r="Q25" s="455" t="n">
        <f aca="false">IF(ISTEXT(H25),"",(B25*$B$7/100)+(C25*$C$7/100))</f>
        <v>0.00085</v>
      </c>
      <c r="R25" s="456" t="n">
        <f aca="false">IF(OR(ISTEXT(H25),Q25=0),"",IF(Q25&lt;0.1,1,IF(Q25&lt;1,2,IF(Q25&lt;10,3,IF(Q25&lt;50,4,IF(Q25&gt;=50,5,""))))))</f>
        <v>1</v>
      </c>
      <c r="S25" s="456" t="n">
        <f aca="false">IF(ISERROR(R25*I25),0,R25*I25)</f>
        <v>18</v>
      </c>
      <c r="T25" s="456" t="n">
        <f aca="false">IF(ISERROR(R25*I25*J25),0,R25*I25*J25)</f>
        <v>54</v>
      </c>
      <c r="U25" s="470" t="n">
        <f aca="false">IF(ISERROR(R25*J25),0,R25*J25)</f>
        <v>3</v>
      </c>
      <c r="V25" s="457" t="n">
        <v>3</v>
      </c>
      <c r="W25" s="458"/>
      <c r="Y25" s="459" t="str">
        <f aca="false">IF(A25="new.cod","NEWCOD",IF(AND((Z25=""),ISTEXT(A25)),A25,IF(Z25="","",INDEX('liste reference'!$A$7:$A$892,Z25))))</f>
        <v>DRASPX</v>
      </c>
      <c r="Z25" s="250" t="n">
        <f aca="false">IF(ISERROR(MATCH(A25,'liste reference'!$A$7:$A$892,0)),IF(ISERROR(MATCH(A25,'liste reference'!$B$7:$B$892,0)),"",(MATCH(A25,'liste reference'!$B$7:$B$892,0))),(MATCH(A25,'liste reference'!$A$7:$A$892,0)))</f>
        <v>217</v>
      </c>
      <c r="AA25" s="460"/>
      <c r="AB25" s="461"/>
      <c r="AC25" s="461"/>
      <c r="BC25" s="250" t="n">
        <f aca="false">IF(A25="","",1)</f>
        <v>1</v>
      </c>
    </row>
    <row r="26" customFormat="false" ht="12.75" hidden="false" customHeight="false" outlineLevel="0" collapsed="false">
      <c r="A26" s="462" t="s">
        <v>1263</v>
      </c>
      <c r="B26" s="463" t="n">
        <v>0.05</v>
      </c>
      <c r="C26" s="464" t="n">
        <v>0.005</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0.04235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0.04235</v>
      </c>
      <c r="R26" s="456" t="n">
        <f aca="false">IF(OR(ISTEXT(H26),Q26=0),"",IF(Q26&lt;0.1,1,IF(Q26&lt;1,2,IF(Q26&lt;10,3,IF(Q26&lt;50,4,IF(Q26&gt;=50,5,""))))))</f>
        <v>1</v>
      </c>
      <c r="S26" s="456" t="n">
        <f aca="false">IF(ISERROR(R26*I26),0,R26*I26)</f>
        <v>15</v>
      </c>
      <c r="T26" s="456" t="n">
        <f aca="false">IF(ISERROR(R26*I26*J26),0,R26*I26*J26)</f>
        <v>30</v>
      </c>
      <c r="U26" s="470" t="n">
        <f aca="false">IF(ISERROR(R26*J26),0,R26*J26)</f>
        <v>2</v>
      </c>
      <c r="V26" s="457" t="n">
        <v>2</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2401</v>
      </c>
      <c r="B27" s="463" t="n">
        <v>0.005</v>
      </c>
      <c r="C27" s="464"/>
      <c r="D27" s="465" t="str">
        <f aca="false">IF(ISERROR(VLOOKUP($A27,'liste reference'!$A$7:$D$892,2,0)),IF(ISERROR(VLOOKUP($A27,'liste reference'!$B$7:$D$892,1,0)),"",VLOOKUP($A27,'liste reference'!$B$7:$D$892,1,0)),VLOOKUP($A27,'liste reference'!$A$7:$D$892,2,0))</f>
        <v>Spirogyra sp.</v>
      </c>
      <c r="E27" s="465" t="e">
        <f aca="false">IF(D27="",0,VLOOKUP(D27,D$22:D26,1,0))</f>
        <v>#N/A</v>
      </c>
      <c r="F27" s="466" t="n">
        <f aca="false">($B27*$B$7+$C27*$C$7)/100</f>
        <v>0.00415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Spirogyra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1147</v>
      </c>
      <c r="Q27" s="455" t="n">
        <f aca="false">IF(ISTEXT(H27),"",(B27*$B$7/100)+(C27*$C$7/100))</f>
        <v>0.00415</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71"/>
      <c r="Y27" s="459" t="str">
        <f aca="false">IF(A27="new.cod","NEWCOD",IF(AND((Z27=""),ISTEXT(A27)),A27,IF(Z27="","",INDEX('liste reference'!$A$7:$A$892,Z27))))</f>
        <v>SPISPX</v>
      </c>
      <c r="Z27" s="250" t="n">
        <f aca="false">IF(ISERROR(MATCH(A27,'liste reference'!$A$7:$A$892,0)),IF(ISERROR(MATCH(A27,'liste reference'!$B$7:$B$892,0)),"",(MATCH(A27,'liste reference'!$B$7:$B$892,0))),(MATCH(A27,'liste reference'!$A$7:$A$892,0)))</f>
        <v>815</v>
      </c>
      <c r="AA27" s="460"/>
      <c r="AB27" s="461"/>
      <c r="AC27" s="461"/>
      <c r="BC27" s="250" t="n">
        <f aca="false">IF(A27="","",1)</f>
        <v>1</v>
      </c>
    </row>
    <row r="28" customFormat="false" ht="12.75" hidden="false" customHeight="false" outlineLevel="0" collapsed="false">
      <c r="A28" s="462" t="s">
        <v>2419</v>
      </c>
      <c r="B28" s="463" t="n">
        <v>0.1</v>
      </c>
      <c r="C28" s="464" t="n">
        <v>1.15</v>
      </c>
      <c r="D28" s="465" t="str">
        <f aca="false">IF(ISERROR(VLOOKUP($A28,'liste reference'!$A$7:$D$892,2,0)),IF(ISERROR(VLOOKUP($A28,'liste reference'!$B$7:$D$892,1,0)),"",VLOOKUP($A28,'liste reference'!$B$7:$D$892,1,0)),VLOOKUP($A28,'liste reference'!$A$7:$D$892,2,0))</f>
        <v>Stigeoclonium sp.</v>
      </c>
      <c r="E28" s="465" t="e">
        <f aca="false">IF(D28="",0,VLOOKUP(D28,D$22:D27,1,0))</f>
        <v>#N/A</v>
      </c>
      <c r="F28" s="466" t="n">
        <f aca="false">($B28*$B$7+$C28*$C$7)/100</f>
        <v>0.2785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Stigeoclonium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1119</v>
      </c>
      <c r="Q28" s="455" t="n">
        <f aca="false">IF(ISTEXT(H28),"",(B28*$B$7/100)+(C28*$C$7/100))</f>
        <v>0.2785</v>
      </c>
      <c r="R28" s="456" t="n">
        <f aca="false">IF(OR(ISTEXT(H28),Q28=0),"",IF(Q28&lt;0.1,1,IF(Q28&lt;1,2,IF(Q28&lt;10,3,IF(Q28&lt;50,4,IF(Q28&gt;=50,5,""))))))</f>
        <v>2</v>
      </c>
      <c r="S28" s="456" t="n">
        <f aca="false">IF(ISERROR(R28*I28),0,R28*I28)</f>
        <v>26</v>
      </c>
      <c r="T28" s="456" t="n">
        <f aca="false">IF(ISERROR(R28*I28*J28),0,R28*I28*J28)</f>
        <v>52</v>
      </c>
      <c r="U28" s="470" t="n">
        <f aca="false">IF(ISERROR(R28*J28),0,R28*J28)</f>
        <v>4</v>
      </c>
      <c r="V28" s="457" t="n">
        <v>4</v>
      </c>
      <c r="W28" s="458"/>
      <c r="X28" s="458"/>
      <c r="Y28" s="459" t="str">
        <f aca="false">IF(A28="new.cod","NEWCOD",IF(AND((Z28=""),ISTEXT(A28)),A28,IF(Z28="","",INDEX('liste reference'!$A$7:$A$892,Z28))))</f>
        <v>STISPX</v>
      </c>
      <c r="Z28" s="250" t="n">
        <f aca="false">IF(ISERROR(MATCH(A28,'liste reference'!$A$7:$A$892,0)),IF(ISERROR(MATCH(A28,'liste reference'!$B$7:$B$892,0)),"",(MATCH(A28,'liste reference'!$B$7:$B$892,0))),(MATCH(A28,'liste reference'!$A$7:$A$892,0)))</f>
        <v>823</v>
      </c>
      <c r="AA28" s="460"/>
      <c r="AB28" s="461"/>
      <c r="AC28" s="461"/>
      <c r="BC28" s="250" t="n">
        <f aca="false">IF(A28="","",1)</f>
        <v>1</v>
      </c>
    </row>
    <row r="29" customFormat="false" ht="12.75" hidden="false" customHeight="false" outlineLevel="0" collapsed="false">
      <c r="A29" s="462" t="s">
        <v>2432</v>
      </c>
      <c r="B29" s="463"/>
      <c r="C29" s="464" t="n">
        <v>0.005</v>
      </c>
      <c r="D29" s="465" t="str">
        <f aca="false">IF(ISERROR(VLOOKUP($A29,'liste reference'!$A$7:$D$892,2,0)),IF(ISERROR(VLOOKUP($A29,'liste reference'!$B$7:$D$892,1,0)),"",VLOOKUP($A29,'liste reference'!$B$7:$D$892,1,0)),VLOOKUP($A29,'liste reference'!$A$7:$D$892,2,0))</f>
        <v>Tetraspora sp.</v>
      </c>
      <c r="E29" s="465" t="e">
        <f aca="false">IF(D29="",0,VLOOKUP(D29,D$22:D28,1,0))</f>
        <v>#N/A</v>
      </c>
      <c r="F29" s="466" t="n">
        <f aca="false">($B29*$B$7+$C29*$C$7)/100</f>
        <v>0.00085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12</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Tetraspora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1138</v>
      </c>
      <c r="Q29" s="455" t="n">
        <f aca="false">IF(ISTEXT(H29),"",(B29*$B$7/100)+(C29*$C$7/100))</f>
        <v>0.00085</v>
      </c>
      <c r="R29" s="456" t="n">
        <f aca="false">IF(OR(ISTEXT(H29),Q29=0),"",IF(Q29&lt;0.1,1,IF(Q29&lt;1,2,IF(Q29&lt;10,3,IF(Q29&lt;50,4,IF(Q29&gt;=50,5,""))))))</f>
        <v>1</v>
      </c>
      <c r="S29" s="456" t="n">
        <f aca="false">IF(ISERROR(R29*I29),0,R29*I29)</f>
        <v>12</v>
      </c>
      <c r="T29" s="456" t="n">
        <f aca="false">IF(ISERROR(R29*I29*J29),0,R29*I29*J29)</f>
        <v>12</v>
      </c>
      <c r="U29" s="470" t="n">
        <f aca="false">IF(ISERROR(R29*J29),0,R29*J29)</f>
        <v>1</v>
      </c>
      <c r="V29" s="457" t="n">
        <v>1</v>
      </c>
      <c r="W29" s="458"/>
      <c r="Y29" s="459" t="str">
        <f aca="false">IF(A29="new.cod","NEWCOD",IF(AND((Z29=""),ISTEXT(A29)),A29,IF(Z29="","",INDEX('liste reference'!$A$7:$A$892,Z29))))</f>
        <v>TETSPX</v>
      </c>
      <c r="Z29" s="250" t="n">
        <f aca="false">IF(ISERROR(MATCH(A29,'liste reference'!$A$7:$A$892,0)),IF(ISERROR(MATCH(A29,'liste reference'!$B$7:$B$892,0)),"",(MATCH(A29,'liste reference'!$B$7:$B$892,0))),(MATCH(A29,'liste reference'!$A$7:$A$892,0)))</f>
        <v>828</v>
      </c>
      <c r="AA29" s="460"/>
      <c r="AB29" s="461"/>
      <c r="AC29" s="461"/>
      <c r="BC29" s="250" t="n">
        <f aca="false">IF(A29="","",1)</f>
        <v>1</v>
      </c>
    </row>
    <row r="30" customFormat="false" ht="12.75" hidden="false" customHeight="false" outlineLevel="0" collapsed="false">
      <c r="A30" s="462" t="s">
        <v>2472</v>
      </c>
      <c r="B30" s="463" t="n">
        <v>0.25</v>
      </c>
      <c r="C30" s="464" t="n">
        <v>0.005</v>
      </c>
      <c r="D30" s="465" t="str">
        <f aca="false">IF(ISERROR(VLOOKUP($A30,'liste reference'!$A$7:$D$892,2,0)),IF(ISERROR(VLOOKUP($A30,'liste reference'!$B$7:$D$892,1,0)),"",VLOOKUP($A30,'liste reference'!$B$7:$D$892,1,0)),VLOOKUP($A30,'liste reference'!$A$7:$D$892,2,0))</f>
        <v>Tolypothrix sp.</v>
      </c>
      <c r="E30" s="465" t="e">
        <f aca="false">IF(D30="",0,VLOOKUP(D30,D$22:D29,1,0))</f>
        <v>#N/A</v>
      </c>
      <c r="F30" s="466" t="n">
        <f aca="false">($B30*$B$7+$C30*$C$7)/100</f>
        <v>0.20835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Tolypothrix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634</v>
      </c>
      <c r="Q30" s="455" t="n">
        <f aca="false">IF(ISTEXT(H30),"",(B30*$B$7/100)+(C30*$C$7/100))</f>
        <v>0.20835</v>
      </c>
      <c r="R30" s="456" t="n">
        <f aca="false">IF(OR(ISTEXT(H30),Q30=0),"",IF(Q30&lt;0.1,1,IF(Q30&lt;1,2,IF(Q30&lt;10,3,IF(Q30&lt;50,4,IF(Q30&gt;=50,5,""))))))</f>
        <v>2</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TOYSPX</v>
      </c>
      <c r="Z30" s="250" t="n">
        <f aca="false">IF(ISERROR(MATCH(A30,'liste reference'!$A$7:$A$892,0)),IF(ISERROR(MATCH(A30,'liste reference'!$B$7:$B$892,0)),"",(MATCH(A30,'liste reference'!$B$7:$B$892,0))),(MATCH(A30,'liste reference'!$A$7:$A$892,0)))</f>
        <v>840</v>
      </c>
      <c r="AA30" s="460"/>
      <c r="AB30" s="461"/>
      <c r="AC30" s="461"/>
      <c r="BC30" s="250" t="n">
        <f aca="false">IF(A30="","",1)</f>
        <v>1</v>
      </c>
    </row>
    <row r="31" customFormat="false" ht="12.75" hidden="false" customHeight="false" outlineLevel="0" collapsed="false">
      <c r="A31" s="462" t="s">
        <v>2578</v>
      </c>
      <c r="B31" s="463" t="n">
        <v>0.005</v>
      </c>
      <c r="C31" s="464" t="n">
        <v>0.03</v>
      </c>
      <c r="D31" s="465" t="str">
        <f aca="false">IF(ISERROR(VLOOKUP($A31,'liste reference'!$A$7:$D$892,2,0)),IF(ISERROR(VLOOKUP($A31,'liste reference'!$B$7:$D$892,1,0)),"",VLOOKUP($A31,'liste reference'!$B$7:$D$892,1,0)),VLOOKUP($A31,'liste reference'!$A$7:$D$892,2,0))</f>
        <v>Zygnema sp.</v>
      </c>
      <c r="E31" s="465" t="e">
        <f aca="false">IF(D31="",0,VLOOKUP(D31,D$22:D30,1,0))</f>
        <v>#N/A</v>
      </c>
      <c r="F31" s="466" t="n">
        <f aca="false">($B31*$B$7+$C31*$C$7)/100</f>
        <v>0.00925</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13</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Zygnema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1148</v>
      </c>
      <c r="Q31" s="455" t="n">
        <f aca="false">IF(ISTEXT(H31),"",(B31*$B$7/100)+(C31*$C$7/100))</f>
        <v>0.00925</v>
      </c>
      <c r="R31" s="456" t="n">
        <f aca="false">IF(OR(ISTEXT(H31),Q31=0),"",IF(Q31&lt;0.1,1,IF(Q31&lt;1,2,IF(Q31&lt;10,3,IF(Q31&lt;50,4,IF(Q31&gt;=50,5,""))))))</f>
        <v>1</v>
      </c>
      <c r="S31" s="456" t="n">
        <f aca="false">IF(ISERROR(R31*I31),0,R31*I31)</f>
        <v>13</v>
      </c>
      <c r="T31" s="456" t="n">
        <f aca="false">IF(ISERROR(R31*I31*J31),0,R31*I31*J31)</f>
        <v>39</v>
      </c>
      <c r="U31" s="470" t="n">
        <f aca="false">IF(ISERROR(R31*J31),0,R31*J31)</f>
        <v>3</v>
      </c>
      <c r="V31" s="457" t="n">
        <v>3</v>
      </c>
      <c r="W31" s="458"/>
      <c r="Y31" s="459" t="str">
        <f aca="false">IF(A31="new.cod","NEWCOD",IF(AND((Z31=""),ISTEXT(A31)),A31,IF(Z31="","",INDEX('liste reference'!$A$7:$A$892,Z31))))</f>
        <v>ZYGSPX</v>
      </c>
      <c r="Z31" s="250" t="n">
        <f aca="false">IF(ISERROR(MATCH(A31,'liste reference'!$A$7:$A$892,0)),IF(ISERROR(MATCH(A31,'liste reference'!$B$7:$B$892,0)),"",(MATCH(A31,'liste reference'!$B$7:$B$892,0))),(MATCH(A31,'liste reference'!$A$7:$A$892,0)))</f>
        <v>886</v>
      </c>
      <c r="AA31" s="460"/>
      <c r="AB31" s="461"/>
      <c r="AC31" s="461"/>
      <c r="BC31" s="250" t="n">
        <f aca="false">IF(A31="","",1)</f>
        <v>1</v>
      </c>
    </row>
    <row r="32" customFormat="false" ht="12.75" hidden="false" customHeight="false" outlineLevel="0" collapsed="false">
      <c r="A32" s="462" t="s">
        <v>613</v>
      </c>
      <c r="B32" s="463" t="n">
        <v>0.005</v>
      </c>
      <c r="C32" s="464"/>
      <c r="D32" s="465" t="str">
        <f aca="false">IF(ISERROR(VLOOKUP($A32,'liste reference'!$A$7:$D$892,2,0)),IF(ISERROR(VLOOKUP($A32,'liste reference'!$B$7:$D$892,1,0)),"",VLOOKUP($A32,'liste reference'!$B$7:$D$892,1,0)),VLOOKUP($A32,'liste reference'!$A$7:$D$892,2,0))</f>
        <v>Conocephalum conicum</v>
      </c>
      <c r="E32" s="465" t="e">
        <f aca="false">IF(D32="",0,VLOOKUP(D32,D$22:D31,1,0))</f>
        <v>#N/A</v>
      </c>
      <c r="F32" s="466" t="n">
        <f aca="false">($B32*$B$7+$C32*$C$7)/100</f>
        <v>0.00415</v>
      </c>
      <c r="G32" s="467" t="str">
        <f aca="false">IF(A32="","",IF(ISERROR(VLOOKUP($A32,'liste reference'!$A$7:$P$892,13,0)),IF(ISERROR(VLOOKUP($A32,'liste reference'!$B$7:$P$892,12,0)),"    -",VLOOKUP($A32,'liste reference'!$B$7:$P$892,12,0)),VLOOKUP($A32,'liste reference'!$A$7:$P$892,13,0)))</f>
        <v>BRh</v>
      </c>
      <c r="H32" s="449" t="n">
        <f aca="false">IF(A32="","x",IF(ISERROR(VLOOKUP($A32,'liste reference'!$A$7:$P$892,14,0)),IF(ISERROR(VLOOKUP($A32,'liste reference'!$B$7:$P$892,13,0)),"x",VLOOKUP($A32,'liste reference'!$B$7:$P$892,13,0)),VLOOKUP($A32,'liste reference'!$A$7:$P$892,14,0)))</f>
        <v>4</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Conocephalum conicum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1176</v>
      </c>
      <c r="Q32" s="455" t="n">
        <f aca="false">IF(ISTEXT(H32),"",(B32*$B$7/100)+(C32*$C$7/100))</f>
        <v>0.00415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CONCON</v>
      </c>
      <c r="Z32" s="250" t="n">
        <f aca="false">IF(ISERROR(MATCH(A32,'liste reference'!$A$7:$A$892,0)),IF(ISERROR(MATCH(A32,'liste reference'!$B$7:$B$892,0)),"",(MATCH(A32,'liste reference'!$B$7:$B$892,0))),(MATCH(A32,'liste reference'!$A$7:$A$892,0)))</f>
        <v>189</v>
      </c>
      <c r="AA32" s="460"/>
      <c r="AB32" s="461"/>
      <c r="AC32" s="461"/>
      <c r="BC32" s="250" t="n">
        <f aca="false">IF(A32="","",1)</f>
        <v>1</v>
      </c>
    </row>
    <row r="33" customFormat="false" ht="12.75" hidden="false" customHeight="false" outlineLevel="0" collapsed="false">
      <c r="A33" s="462" t="s">
        <v>284</v>
      </c>
      <c r="B33" s="463" t="n">
        <v>0.01</v>
      </c>
      <c r="C33" s="464" t="n">
        <v>0.01</v>
      </c>
      <c r="D33" s="465" t="str">
        <f aca="false">IF(ISERROR(VLOOKUP($A33,'liste reference'!$A$7:$D$892,2,0)),IF(ISERROR(VLOOKUP($A33,'liste reference'!$B$7:$D$892,1,0)),"",VLOOKUP($A33,'liste reference'!$B$7:$D$892,1,0)),VLOOKUP($A33,'liste reference'!$A$7:$D$892,2,0))</f>
        <v>Bryum pseudotriquetrum</v>
      </c>
      <c r="E33" s="465" t="e">
        <f aca="false">IF(D33="",0,VLOOKUP(D33,D$22:D32,1,0))</f>
        <v>#N/A</v>
      </c>
      <c r="F33" s="466" t="n">
        <f aca="false">($B33*$B$7+$C33*$C$7)/100</f>
        <v>0.01</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Bryum pseudotriquetrum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1274</v>
      </c>
      <c r="Q33" s="455" t="n">
        <f aca="false">IF(ISTEXT(H33),"",(B33*$B$7/100)+(C33*$C$7/100))</f>
        <v>0.01</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BRYPSE</v>
      </c>
      <c r="Z33" s="250" t="n">
        <f aca="false">IF(ISERROR(MATCH(A33,'liste reference'!$A$7:$A$892,0)),IF(ISERROR(MATCH(A33,'liste reference'!$B$7:$B$892,0)),"",(MATCH(A33,'liste reference'!$B$7:$B$892,0))),(MATCH(A33,'liste reference'!$A$7:$A$892,0)))</f>
        <v>76</v>
      </c>
      <c r="AA33" s="460"/>
      <c r="AB33" s="461"/>
      <c r="AC33" s="461"/>
      <c r="BC33" s="250" t="n">
        <f aca="false">IF(A33="","",1)</f>
        <v>1</v>
      </c>
    </row>
    <row r="34" customFormat="false" ht="12.75" hidden="false" customHeight="false" outlineLevel="0" collapsed="false">
      <c r="A34" s="462" t="s">
        <v>950</v>
      </c>
      <c r="B34" s="463"/>
      <c r="C34" s="464" t="n">
        <v>0.005</v>
      </c>
      <c r="D34" s="465" t="str">
        <f aca="false">IF(ISERROR(VLOOKUP($A34,'liste reference'!$A$7:$D$892,2,0)),IF(ISERROR(VLOOKUP($A34,'liste reference'!$B$7:$D$892,1,0)),"",VLOOKUP($A34,'liste reference'!$B$7:$D$892,1,0)),VLOOKUP($A34,'liste reference'!$A$7:$D$892,2,0))</f>
        <v>Fissidens taxifolius</v>
      </c>
      <c r="E34" s="465" t="e">
        <f aca="false">IF(D34="",0,VLOOKUP(D34,D$22:D33,1,0))</f>
        <v>#N/A</v>
      </c>
      <c r="F34" s="472" t="n">
        <f aca="false">($B34*$B$7+$C34*$C$7)/100</f>
        <v>0.00085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Fissidens taxifolius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v>
      </c>
      <c r="Q34" s="455" t="n">
        <f aca="false">IF(ISTEXT(H34),"",(B34*$B$7/100)+(C34*$C$7/100))</f>
        <v>0.00085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FISTAX</v>
      </c>
      <c r="Z34" s="250" t="n">
        <f aca="false">IF(ISERROR(MATCH(A34,'liste reference'!$A$7:$A$892,0)),IF(ISERROR(MATCH(A34,'liste reference'!$B$7:$B$892,0)),"",(MATCH(A34,'liste reference'!$B$7:$B$892,0))),(MATCH(A34,'liste reference'!$A$7:$A$892,0)))</f>
        <v>302</v>
      </c>
      <c r="AA34" s="460"/>
      <c r="AB34" s="461"/>
      <c r="AC34" s="461"/>
      <c r="BC34" s="250" t="n">
        <f aca="false">IF(A34="","",1)</f>
        <v>1</v>
      </c>
    </row>
    <row r="35" customFormat="false" ht="12.75" hidden="false" customHeight="false" outlineLevel="0" collapsed="false">
      <c r="A35" s="462" t="s">
        <v>979</v>
      </c>
      <c r="B35" s="463" t="n">
        <v>0.005</v>
      </c>
      <c r="C35" s="464"/>
      <c r="D35" s="465" t="str">
        <f aca="false">IF(ISERROR(VLOOKUP($A35,'liste reference'!$A$7:$D$892,2,0)),IF(ISERROR(VLOOKUP($A35,'liste reference'!$B$7:$D$892,1,0)),"",VLOOKUP($A35,'liste reference'!$B$7:$D$892,1,0)),VLOOKUP($A35,'liste reference'!$A$7:$D$892,2,0))</f>
        <v>Fontinalis squamosa</v>
      </c>
      <c r="E35" s="465" t="e">
        <f aca="false">IF(D35="",0,VLOOKUP(D35,D$22:D34,1,0))</f>
        <v>#N/A</v>
      </c>
      <c r="F35" s="472" t="n">
        <f aca="false">($B35*$B$7+$C35*$C$7)/100</f>
        <v>0.00415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16</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Fontinalis squamosa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1312</v>
      </c>
      <c r="Q35" s="455" t="n">
        <f aca="false">IF(ISTEXT(H35),"",(B35*$B$7/100)+(C35*$C$7/100))</f>
        <v>0.00415</v>
      </c>
      <c r="R35" s="456" t="n">
        <f aca="false">IF(OR(ISTEXT(H35),Q35=0),"",IF(Q35&lt;0.1,1,IF(Q35&lt;1,2,IF(Q35&lt;10,3,IF(Q35&lt;50,4,IF(Q35&gt;=50,5,""))))))</f>
        <v>1</v>
      </c>
      <c r="S35" s="456" t="n">
        <f aca="false">IF(ISERROR(R35*I35),0,R35*I35)</f>
        <v>16</v>
      </c>
      <c r="T35" s="456" t="n">
        <f aca="false">IF(ISERROR(R35*I35*J35),0,R35*I35*J35)</f>
        <v>48</v>
      </c>
      <c r="U35" s="470" t="n">
        <f aca="false">IF(ISERROR(R35*J35),0,R35*J35)</f>
        <v>3</v>
      </c>
      <c r="V35" s="457" t="n">
        <v>3</v>
      </c>
      <c r="W35" s="458"/>
      <c r="Y35" s="459" t="str">
        <f aca="false">IF(A35="new.cod","NEWCOD",IF(AND((Z35=""),ISTEXT(A35)),A35,IF(Z35="","",INDEX('liste reference'!$A$7:$A$892,Z35))))</f>
        <v>FONSQU</v>
      </c>
      <c r="Z35" s="250" t="n">
        <f aca="false">IF(ISERROR(MATCH(A35,'liste reference'!$A$7:$A$892,0)),IF(ISERROR(MATCH(A35,'liste reference'!$B$7:$B$892,0)),"",(MATCH(A35,'liste reference'!$B$7:$B$892,0))),(MATCH(A35,'liste reference'!$A$7:$A$892,0)))</f>
        <v>308</v>
      </c>
      <c r="AA35" s="460"/>
      <c r="AB35" s="461"/>
      <c r="AC35" s="461"/>
      <c r="BC35" s="250" t="n">
        <f aca="false">IF(A35="","",1)</f>
        <v>1</v>
      </c>
    </row>
    <row r="36" customFormat="false" ht="12.75" hidden="false" customHeight="false" outlineLevel="0" collapsed="false">
      <c r="A36" s="462" t="s">
        <v>2077</v>
      </c>
      <c r="B36" s="463" t="n">
        <v>0.01</v>
      </c>
      <c r="C36" s="464"/>
      <c r="D36" s="465" t="str">
        <f aca="false">IF(ISERROR(VLOOKUP($A36,'liste reference'!$A$7:$D$892,2,0)),IF(ISERROR(VLOOKUP($A36,'liste reference'!$B$7:$D$892,1,0)),"",VLOOKUP($A36,'liste reference'!$B$7:$D$892,1,0)),VLOOKUP($A36,'liste reference'!$A$7:$D$892,2,0))</f>
        <v>Rhynchostegium riparioides</v>
      </c>
      <c r="E36" s="465" t="e">
        <f aca="false">IF(D36="",0,VLOOKUP(D36,D$22:D35,1,0))</f>
        <v>#N/A</v>
      </c>
      <c r="F36" s="472" t="n">
        <f aca="false">($B36*$B$7+$C36*$C$7)/100</f>
        <v>0.0083</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Rhynchostegium riparioides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1268</v>
      </c>
      <c r="Q36" s="455" t="n">
        <f aca="false">IF(ISTEXT(H36),"",(B36*$B$7/100)+(C36*$C$7/100))</f>
        <v>0.0083</v>
      </c>
      <c r="R36" s="456" t="n">
        <f aca="false">IF(OR(ISTEXT(H36),Q36=0),"",IF(Q36&lt;0.1,1,IF(Q36&lt;1,2,IF(Q36&lt;10,3,IF(Q36&lt;50,4,IF(Q36&gt;=50,5,""))))))</f>
        <v>1</v>
      </c>
      <c r="S36" s="456" t="n">
        <f aca="false">IF(ISERROR(R36*I36),0,R36*I36)</f>
        <v>12</v>
      </c>
      <c r="T36" s="456" t="n">
        <f aca="false">IF(ISERROR(R36*I36*J36),0,R36*I36*J36)</f>
        <v>12</v>
      </c>
      <c r="U36" s="470" t="n">
        <f aca="false">IF(ISERROR(R36*J36),0,R36*J36)</f>
        <v>1</v>
      </c>
      <c r="V36" s="457" t="n">
        <v>1</v>
      </c>
      <c r="W36" s="458"/>
      <c r="Y36" s="459" t="str">
        <f aca="false">IF(A36="new.cod","NEWCOD",IF(AND((Z36=""),ISTEXT(A36)),A36,IF(Z36="","",INDEX('liste reference'!$A$7:$A$892,Z36))))</f>
        <v>RHYRIP</v>
      </c>
      <c r="Z36" s="250" t="n">
        <f aca="false">IF(ISERROR(MATCH(A36,'liste reference'!$A$7:$A$892,0)),IF(ISERROR(MATCH(A36,'liste reference'!$B$7:$B$892,0)),"",(MATCH(A36,'liste reference'!$B$7:$B$892,0))),(MATCH(A36,'liste reference'!$A$7:$A$892,0)))</f>
        <v>705</v>
      </c>
      <c r="AA36" s="460"/>
      <c r="AB36" s="461"/>
      <c r="AC36" s="461"/>
      <c r="BC36" s="250" t="n">
        <f aca="false">IF(A36="","",1)</f>
        <v>1</v>
      </c>
    </row>
    <row r="37" customFormat="false" ht="12.75" hidden="false" customHeight="false" outlineLevel="0" collapsed="false">
      <c r="A37" s="462" t="s">
        <v>1657</v>
      </c>
      <c r="B37" s="463" t="n">
        <v>0.005</v>
      </c>
      <c r="C37" s="464" t="n">
        <v>0.01</v>
      </c>
      <c r="D37" s="465" t="str">
        <f aca="false">IF(ISERROR(VLOOKUP($A37,'liste reference'!$A$7:$D$892,2,0)),IF(ISERROR(VLOOKUP($A37,'liste reference'!$B$7:$D$892,1,0)),"",VLOOKUP($A37,'liste reference'!$B$7:$D$892,1,0)),VLOOKUP($A37,'liste reference'!$A$7:$D$892,2,0))</f>
        <v>Osmunda regalis</v>
      </c>
      <c r="E37" s="465" t="e">
        <f aca="false">IF(D37="",0,VLOOKUP(D37,D$22:D36,1,0))</f>
        <v>#N/A</v>
      </c>
      <c r="F37" s="472" t="n">
        <f aca="false">($B37*$B$7+$C37*$C$7)/100</f>
        <v>0.00585</v>
      </c>
      <c r="G37" s="467" t="str">
        <f aca="false">IF(A37="","",IF(ISERROR(VLOOKUP($A37,'liste reference'!$A$7:$P$892,13,0)),IF(ISERROR(VLOOKUP($A37,'liste reference'!$B$7:$P$892,12,0)),"    -",VLOOKUP($A37,'liste reference'!$B$7:$P$892,12,0)),VLOOKUP($A37,'liste reference'!$A$7:$P$892,13,0)))</f>
        <v>PTE</v>
      </c>
      <c r="H37" s="449" t="n">
        <f aca="false">IF(A37="","x",IF(ISERROR(VLOOKUP($A37,'liste reference'!$A$7:$P$892,14,0)),IF(ISERROR(VLOOKUP($A37,'liste reference'!$B$7:$P$892,13,0)),"x",VLOOKUP($A37,'liste reference'!$B$7:$P$892,13,0)),VLOOKUP($A37,'liste reference'!$A$7:$P$892,14,0)))</f>
        <v>6</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Osmunda regalis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143</v>
      </c>
      <c r="Q37" s="455" t="n">
        <f aca="false">IF(ISTEXT(H37),"",(B37*$B$7/100)+(C37*$C$7/100))</f>
        <v>0.00585</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OSMREG</v>
      </c>
      <c r="Z37" s="250" t="n">
        <f aca="false">IF(ISERROR(MATCH(A37,'liste reference'!$A$7:$A$892,0)),IF(ISERROR(MATCH(A37,'liste reference'!$B$7:$B$892,0)),"",(MATCH(A37,'liste reference'!$B$7:$B$892,0))),(MATCH(A37,'liste reference'!$A$7:$A$892,0)))</f>
        <v>552</v>
      </c>
      <c r="AA37" s="460"/>
      <c r="AB37" s="461"/>
      <c r="AC37" s="461"/>
      <c r="BC37" s="250" t="n">
        <f aca="false">IF(A37="","",1)</f>
        <v>1</v>
      </c>
    </row>
    <row r="38" customFormat="false" ht="12.75" hidden="false" customHeight="false" outlineLevel="0" collapsed="false">
      <c r="A38" s="462" t="s">
        <v>1251</v>
      </c>
      <c r="B38" s="463"/>
      <c r="C38" s="464" t="n">
        <v>0.005</v>
      </c>
      <c r="D38" s="465" t="str">
        <f aca="false">IF(ISERROR(VLOOKUP($A38,'liste reference'!$A$7:$D$892,2,0)),IF(ISERROR(VLOOKUP($A38,'liste reference'!$B$7:$D$892,1,0)),"",VLOOKUP($A38,'liste reference'!$B$7:$D$892,1,0)),VLOOKUP($A38,'liste reference'!$A$7:$D$892,2,0))</f>
        <v>Juncus sp.</v>
      </c>
      <c r="E38" s="465" t="e">
        <f aca="false">IF(D38="",0,VLOOKUP(D38,D$22:D37,1,0))</f>
        <v>#N/A</v>
      </c>
      <c r="F38" s="472" t="n">
        <f aca="false">($B38*$B$7+$C38*$C$7)/100</f>
        <v>0.00085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Juncus sp.</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166</v>
      </c>
      <c r="Q38" s="455" t="n">
        <f aca="false">IF(ISTEXT(H38),"",(B38*$B$7/100)+(C38*$C$7/100))</f>
        <v>0.00085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JUNSPX</v>
      </c>
      <c r="Z38" s="250" t="n">
        <f aca="false">IF(ISERROR(MATCH(A38,'liste reference'!$A$7:$A$892,0)),IF(ISERROR(MATCH(A38,'liste reference'!$B$7:$B$892,0)),"",(MATCH(A38,'liste reference'!$B$7:$B$892,0))),(MATCH(A38,'liste reference'!$A$7:$A$892,0)))</f>
        <v>402</v>
      </c>
      <c r="AA38" s="460"/>
      <c r="AB38" s="461"/>
      <c r="AC38" s="461"/>
      <c r="BC38" s="250" t="n">
        <f aca="false">IF(A38="","",1)</f>
        <v>1</v>
      </c>
    </row>
    <row r="39" customFormat="false" ht="12.75" hidden="false" customHeight="false" outlineLevel="0" collapsed="false">
      <c r="A39" s="462" t="s">
        <v>1420</v>
      </c>
      <c r="B39" s="463" t="n">
        <v>0.005</v>
      </c>
      <c r="C39" s="464" t="n">
        <v>0.01</v>
      </c>
      <c r="D39" s="465" t="str">
        <f aca="false">IF(ISERROR(VLOOKUP($A39,'liste reference'!$A$7:$D$892,2,0)),IF(ISERROR(VLOOKUP($A39,'liste reference'!$B$7:$D$892,1,0)),"",VLOOKUP($A39,'liste reference'!$B$7:$D$892,1,0)),VLOOKUP($A39,'liste reference'!$A$7:$D$892,2,0))</f>
        <v>Mentha sp.</v>
      </c>
      <c r="E39" s="465" t="e">
        <f aca="false">IF(D39="",0,VLOOKUP(D39,D$22:D38,1,0))</f>
        <v>#N/A</v>
      </c>
      <c r="F39" s="472" t="n">
        <f aca="false">($B39*$B$7+$C39*$C$7)/100</f>
        <v>0.00585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Mentha sp.</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179</v>
      </c>
      <c r="Q39" s="455" t="n">
        <f aca="false">IF(ISTEXT(H39),"",(B39*$B$7/100)+(C39*$C$7/100))</f>
        <v>0.00585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MENSPX</v>
      </c>
      <c r="Z39" s="250" t="n">
        <f aca="false">IF(ISERROR(MATCH(A39,'liste reference'!$A$7:$A$892,0)),IF(ISERROR(MATCH(A39,'liste reference'!$B$7:$B$892,0)),"",(MATCH(A39,'liste reference'!$B$7:$B$892,0))),(MATCH(A39,'liste reference'!$A$7:$A$892,0)))</f>
        <v>462</v>
      </c>
      <c r="AA39" s="460"/>
      <c r="AB39" s="461"/>
      <c r="AC39" s="461"/>
      <c r="BC39" s="250" t="n">
        <f aca="false">IF(A39="","",1)</f>
        <v>1</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IF(D44="",0,VLOOKUP(D44,D$22:D37,1,0))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2684</v>
      </c>
      <c r="B62" s="463" t="n">
        <v>0.005</v>
      </c>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0.00415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Hygrohypnum egyrium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2685</v>
      </c>
      <c r="AC62" s="461"/>
      <c r="BC62" s="250" t="n">
        <f aca="false">IF(A62="","",1)</f>
        <v>1</v>
      </c>
    </row>
    <row r="63" customFormat="false" ht="12.75" hidden="false" customHeight="false" outlineLevel="0" collapsed="false">
      <c r="A63" s="462" t="s">
        <v>2684</v>
      </c>
      <c r="B63" s="463"/>
      <c r="C63" s="464" t="n">
        <v>0.15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0.0255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Bulbochaete sp.</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CRUZZINI</v>
      </c>
      <c r="B84" s="493" t="str">
        <f aca="false">C3</f>
        <v>Azzana</v>
      </c>
      <c r="C84" s="494" t="n">
        <f aca="false">A4</f>
        <v>41076</v>
      </c>
      <c r="D84" s="495" t="n">
        <f aca="false">IF(ISERROR(SUM($T$23:$T$82)/SUM($U$23:$U$82)),"",SUM($T$23:$T$82)/SUM($U$23:$U$82))</f>
        <v>14.3181818181818</v>
      </c>
      <c r="E84" s="496" t="n">
        <f aca="false">N13</f>
        <v>19</v>
      </c>
      <c r="F84" s="493" t="n">
        <f aca="false">N14</f>
        <v>17</v>
      </c>
      <c r="G84" s="493" t="n">
        <f aca="false">N15</f>
        <v>3</v>
      </c>
      <c r="H84" s="493" t="n">
        <f aca="false">N16</f>
        <v>4</v>
      </c>
      <c r="I84" s="493" t="n">
        <f aca="false">N17</f>
        <v>3</v>
      </c>
      <c r="J84" s="497" t="n">
        <f aca="false">N8</f>
        <v>8.11764705882353</v>
      </c>
      <c r="K84" s="495" t="n">
        <f aca="false">N9</f>
        <v>7.22739884866243</v>
      </c>
      <c r="L84" s="496" t="n">
        <f aca="false">N10</f>
        <v>0</v>
      </c>
      <c r="M84" s="496" t="n">
        <f aca="false">N11</f>
        <v>18</v>
      </c>
      <c r="N84" s="495" t="n">
        <f aca="false">O8</f>
        <v>1.17647058823529</v>
      </c>
      <c r="O84" s="495" t="n">
        <f aca="false">O9</f>
        <v>1.18507880105328</v>
      </c>
      <c r="P84" s="496" t="n">
        <f aca="false">O10</f>
        <v>0</v>
      </c>
      <c r="Q84" s="496" t="n">
        <f aca="false">O11</f>
        <v>3</v>
      </c>
      <c r="R84" s="496" t="n">
        <f aca="false">F21</f>
        <v>0.6519</v>
      </c>
      <c r="S84" s="496" t="n">
        <f aca="false">K11</f>
        <v>0</v>
      </c>
      <c r="T84" s="496" t="n">
        <f aca="false">K12</f>
        <v>9</v>
      </c>
      <c r="U84" s="496" t="n">
        <f aca="false">K13</f>
        <v>5</v>
      </c>
      <c r="V84" s="498" t="n">
        <f aca="false">K14</f>
        <v>1</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26</v>
      </c>
      <c r="T87" s="250"/>
      <c r="U87" s="250"/>
      <c r="V87" s="250"/>
    </row>
    <row r="88" customFormat="false" ht="12.75" hidden="true" customHeight="false" outlineLevel="0" collapsed="false">
      <c r="P88" s="250"/>
      <c r="Q88" s="250" t="s">
        <v>2690</v>
      </c>
      <c r="R88" s="250"/>
      <c r="S88" s="457" t="n">
        <f aca="false">VLOOKUP((S87),($S$23:$U$82),2,0)</f>
        <v>52</v>
      </c>
      <c r="T88" s="250"/>
      <c r="U88" s="250"/>
      <c r="V88" s="250"/>
    </row>
    <row r="89" customFormat="false" ht="12.75" hidden="false" customHeight="false" outlineLevel="0" collapsed="false">
      <c r="Q89" s="250" t="s">
        <v>2691</v>
      </c>
      <c r="R89" s="250"/>
      <c r="S89" s="457" t="n">
        <f aca="false">VLOOKUP((S87),($S$23:$U$82),3,0)</f>
        <v>4</v>
      </c>
      <c r="T89" s="250"/>
    </row>
    <row r="90" customFormat="false" ht="12.75" hidden="false" customHeight="false" outlineLevel="0" collapsed="false">
      <c r="Q90" s="250" t="s">
        <v>2692</v>
      </c>
      <c r="R90" s="250"/>
      <c r="S90" s="502" t="n">
        <f aca="false">IF(ISERROR(SUM($T$23:$T$82)/SUM($U$23:$U$82)),"",(SUM($T$23:$T$82)-S88)/(SUM($U$23:$U$82)-S89))</f>
        <v>14.6111111111111</v>
      </c>
      <c r="T90" s="250"/>
    </row>
    <row r="91" customFormat="false" ht="12.75" hidden="false" customHeight="false" outlineLevel="0" collapsed="false">
      <c r="Q91" s="456" t="s">
        <v>2693</v>
      </c>
      <c r="R91" s="456"/>
      <c r="S91" s="456" t="str">
        <f aca="false">INDEX('liste reference'!$A$7:$A$892,$T$91)</f>
        <v>STISPX</v>
      </c>
      <c r="T91" s="250" t="n">
        <f aca="false">IF(ISERROR(MATCH($S$93,'liste reference'!$A$7:$A$892,0)),MATCH($S$93,'liste reference'!$B$7:$B$892,0),(MATCH($S$93,'liste reference'!$A$7:$A$892,0)))</f>
        <v>823</v>
      </c>
      <c r="U91" s="491"/>
    </row>
    <row r="92" customFormat="false" ht="12.75" hidden="false" customHeight="false" outlineLevel="0" collapsed="false">
      <c r="Q92" s="250" t="s">
        <v>2694</v>
      </c>
      <c r="R92" s="250"/>
      <c r="S92" s="250" t="n">
        <f aca="false">MATCH(S87,$S$23:$S$82,0)</f>
        <v>6</v>
      </c>
      <c r="T92" s="250"/>
    </row>
    <row r="93" customFormat="false" ht="12.75" hidden="false" customHeight="false" outlineLevel="0" collapsed="false">
      <c r="Q93" s="456" t="s">
        <v>2695</v>
      </c>
      <c r="R93" s="250"/>
      <c r="S93" s="456" t="str">
        <f aca="false">INDEX($A$23:$A$82,$S$92)</f>
        <v>STISPX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2715</v>
      </c>
      <c r="C18" s="532"/>
      <c r="D18" s="533"/>
      <c r="F18" s="540" t="s">
        <v>2716</v>
      </c>
      <c r="G18" s="541"/>
      <c r="H18" s="540" t="s">
        <v>2716</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2726</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2013-04-11T15:32:11Z</dcterms:modified>
  <cp:revision>0</cp:revision>
  <dc:subject/>
  <dc:title>Feuille d'aide au calcul de l'IBMR</dc:title>
</cp:coreProperties>
</file>