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215900" sheetId="6" state="visible" r:id="rId8"/>
    <sheet name="modele" sheetId="7" state="hidden" r:id="rId9"/>
    <sheet name="liste codes réf" sheetId="8" state="hidden" r:id="rId10"/>
  </sheets>
  <definedNames>
    <definedName function="false" hidden="false" localSheetId="5" name="_xlnm.Print_Area" vbProcedure="false">'06215900'!$A$1:$O$82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'06215900'!$A$23:$J$84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<sst xmlns="http://schemas.openxmlformats.org/spreadsheetml/2006/main" count="7353" uniqueCount="2731">
  <si>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</si>
  <si>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</si>
  <si>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</si>
  <si>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</si>
  <si>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</si>
  <si>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</si>
  <si>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</si>
  <si>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</si>
  <si>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</si>
  <si>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</si>
  <si>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</si>
  <si>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</si>
  <si>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</si>
  <si>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</si>
  <si>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</si>
  <si>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</si>
  <si>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</si>
  <si>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</si>
  <si>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</si>
  <si>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</si>
  <si>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</si>
  <si>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</si>
  <si>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</si>
  <si>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</si>
  <si>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</si>
  <si>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</si>
  <si>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</si>
  <si>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</si>
  <si>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</si>
  <si>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</si>
  <si>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</si>
  <si>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</si>
  <si>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</si>
  <si>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</si>
  <si>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</si>
  <si>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</si>
  <si>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</si>
  <si>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</si>
  <si>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</si>
  <si>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</si>
  <si>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</si>
  <si>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</si>
  <si>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</si>
  <si>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</si>
  <si>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</si>
  <si>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</si>
  <si>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</si>
  <si>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</si>
  <si>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</si>
  <si>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</si>
  <si>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</si>
  <si>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</si>
  <si>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</si>
  <si>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</si>
  <si>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</si>
  <si>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</si>
  <si>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</si>
  <si>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</si>
  <si>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</si>
  <si>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</si>
  <si>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</si>
  <si>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</si>
  <si>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</si>
  <si>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</si>
  <si>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</si>
  <si>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</si>
  <si>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</si>
  <si>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</si>
  <si>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</si>
  <si>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</si>
  <si>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</si>
  <si>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</si>
  <si>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</si>
  <si>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</si>
  <si>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</si>
  <si>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</si>
  <si>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</si>
  <si>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</si>
  <si>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</si>
  <si>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</si>
  <si>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</si>
  <si>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</si>
  <si>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</si>
  <si>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</si>
  <si>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</si>
  <si>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</si>
  <si>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</si>
  <si>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</si>
  <si>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</si>
  <si>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</si>
  <si>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</si>
  <si>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</si>
  <si>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</si>
  <si>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</si>
  <si>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</si>
  <si>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</si>
  <si>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</si>
  <si>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</si>
  <si>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</si>
  <si>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</si>
  <si>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</si>
  <si>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</si>
  <si>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</si>
  <si>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</si>
  <si>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</si>
  <si>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</si>
  <si>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</si>
  <si>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</si>
  <si>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</si>
  <si>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</si>
  <si>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</si>
  <si>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</si>
  <si>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</si>
  <si>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</si>
  <si>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</si>
  <si>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</si>
  <si>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</si>
  <si>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</si>
  <si>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</si>
  <si>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</si>
  <si>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</si>
  <si>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</si>
  <si>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</si>
  <si>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</si>
  <si>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</si>
  <si>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</si>
  <si>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</si>
  <si>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</si>
  <si>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</si>
  <si>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</si>
  <si>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</si>
  <si>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</si>
  <si>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</si>
  <si>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</si>
  <si>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</si>
  <si>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</si>
  <si>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</si>
  <si>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</si>
  <si>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</si>
  <si>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</si>
  <si>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</si>
  <si>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</si>
  <si>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</si>
  <si>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</si>
  <si>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</si>
  <si>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</si>
  <si>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</si>
  <si>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</si>
  <si>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</si>
  <si>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</si>
  <si>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</si>
  <si>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</si>
  <si>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</si>
  <si>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</si>
  <si>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</si>
  <si>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</si>
  <si>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</si>
  <si>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</si>
  <si>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</si>
  <si>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</si>
  <si>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</si>
  <si>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</si>
  <si>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</si>
  <si>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</si>
  <si>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</si>
  <si>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</si>
  <si>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</si>
  <si>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</si>
  <si>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</si>
  <si>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</si>
  <si>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</si>
  <si>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</si>
  <si>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</si>
  <si>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</si>
  <si>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</si>
  <si>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</si>
  <si>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</si>
  <si>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</si>
  <si>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</si>
  <si>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</si>
  <si>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</si>
  <si>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</si>
  <si>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</si>
  <si>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</si>
  <si>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</si>
  <si>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</si>
  <si>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</si>
  <si>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</si>
  <si>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</si>
  <si>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</si>
  <si>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</si>
  <si>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</si>
  <si>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</si>
  <si>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</si>
  <si>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</si>
  <si>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</si>
  <si>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</si>
  <si>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</si>
  <si>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</si>
  <si>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</si>
  <si>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</si>
  <si>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</si>
  <si>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</si>
  <si>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</si>
  <si>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</si>
  <si>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</si>
  <si>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</si>
  <si>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</si>
  <si>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</si>
  <si>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</si>
  <si>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</si>
  <si>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</si>
  <si>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</si>
  <si>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</si>
  <si>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</si>
  <si>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</si>
  <si>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</si>
  <si>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</si>
  <si>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</si>
  <si>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</si>
  <si>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</si>
  <si>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</si>
  <si>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</si>
  <si>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</si>
  <si>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</si>
  <si>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</si>
  <si>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</si>
  <si>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</si>
  <si>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</si>
  <si>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</si>
  <si>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</si>
  <si>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</si>
  <si>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</si>
  <si>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</si>
  <si>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</si>
  <si>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</si>
  <si>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</si>
  <si>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</si>
  <si>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</si>
  <si>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</si>
  <si>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</si>
  <si>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</si>
  <si>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</si>
  <si>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</si>
  <si>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</si>
  <si>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</si>
  <si>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</si>
  <si>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</si>
  <si>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</si>
  <si>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</si>
  <si>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</si>
  <si>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</si>
  <si>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</si>
  <si>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</si>
  <si>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</si>
  <si>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</si>
  <si>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</si>
  <si>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</si>
  <si>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</si>
  <si>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</si>
  <si>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</si>
  <si>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</si>
  <si>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</si>
  <si>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</si>
  <si>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</si>
  <si>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</si>
  <si>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</si>
  <si>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</si>
  <si>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</si>
  <si>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</si>
  <si>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</si>
  <si>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</si>
  <si>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</si>
  <si>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</si>
  <si>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</si>
  <si>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</si>
  <si>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</si>
  <si>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</si>
  <si>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</si>
  <si>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</si>
  <si>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</si>
  <si>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</si>
  <si>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</si>
  <si>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</si>
  <si>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</si>
  <si>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</si>
  <si>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</si>
  <si>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</si>
  <si>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</si>
  <si>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</si>
  <si>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</si>
  <si>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</si>
  <si>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</si>
  <si>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</si>
  <si>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</si>
  <si>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</si>
  <si>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</si>
  <si>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</si>
  <si>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</si>
  <si>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</si>
  <si>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</si>
  <si>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</si>
  <si>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</si>
  <si>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</si>
  <si>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</si>
  <si>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</si>
  <si>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</si>
  <si>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</si>
  <si>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</si>
  <si>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</si>
  <si>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</si>
  <si>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</si>
  <si>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</si>
  <si>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</si>
  <si>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</si>
  <si>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</si>
  <si>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</si>
  <si>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</si>
  <si>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</si>
  <si>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</si>
  <si>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</si>
  <si>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</si>
  <si>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</si>
  <si>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</si>
  <si>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</si>
  <si>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</si>
  <si>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</si>
  <si>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</si>
  <si>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</si>
  <si>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</si>
  <si>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</si>
  <si>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</si>
  <si>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</si>
  <si>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</si>
  <si>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</si>
  <si>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</si>
  <si>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</si>
  <si>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</si>
  <si>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</si>
  <si>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</si>
  <si>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</si>
  <si>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</si>
  <si>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</si>
  <si>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</si>
  <si>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</si>
  <si>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</si>
  <si>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</si>
  <si>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</si>
  <si>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</si>
  <si>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</si>
  <si>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</si>
  <si>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</si>
  <si>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</si>
  <si>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</si>
  <si>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</si>
  <si>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</si>
  <si>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</si>
  <si>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</si>
  <si>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</si>
  <si>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</si>
  <si>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</si>
  <si>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</si>
  <si>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</si>
  <si>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</si>
  <si>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</si>
  <si>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</si>
  <si>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</si>
  <si>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</si>
  <si>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</si>
  <si>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</si>
  <si>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</si>
  <si>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</si>
  <si>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</si>
  <si>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</si>
  <si>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</si>
  <si>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</si>
  <si>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</si>
  <si>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</si>
  <si>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</si>
  <si>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</si>
  <si>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</si>
  <si>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</si>
  <si>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</si>
  <si>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</si>
  <si>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</si>
  <si>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</si>
  <si>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</si>
  <si>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</si>
  <si>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</si>
  <si>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</si>
  <si>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</si>
  <si>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</si>
  <si>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</si>
  <si>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</si>
  <si>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</si>
  <si>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</si>
  <si>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</si>
  <si>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</si>
  <si>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</si>
  <si>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</si>
  <si>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</si>
  <si>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</si>
  <si>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</si>
  <si>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</si>
  <si>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</si>
  <si>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</si>
  <si>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</si>
  <si>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</si>
  <si>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</si>
  <si>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</si>
  <si>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</si>
  <si>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</si>
  <si>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</si>
  <si>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</si>
  <si>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</si>
  <si>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</si>
  <si>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</si>
  <si>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</si>
  <si>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</si>
  <si>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</si>
  <si>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</si>
  <si>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</si>
  <si>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</si>
  <si>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</si>
  <si>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</si>
  <si>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</si>
  <si>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</si>
  <si>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</si>
  <si>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</si>
  <si>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</si>
  <si>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</si>
  <si>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</si>
  <si>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</si>
  <si>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</si>
  <si>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</si>
  <si>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</si>
  <si>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</si>
  <si>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</si>
  <si>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</si>
  <si>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</si>
  <si>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</si>
  <si>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</si>
  <si>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</si>
  <si>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</si>
  <si>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</si>
  <si>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</si>
  <si>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</si>
  <si>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</si>
  <si>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</si>
  <si>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</si>
  <si>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</si>
  <si>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</si>
  <si>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</si>
  <si>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</si>
  <si>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</si>
  <si>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</si>
  <si>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</si>
  <si>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</si>
  <si>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</si>
  <si>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</si>
  <si>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</si>
  <si>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</si>
  <si>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</si>
  <si>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</si>
  <si>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</si>
  <si>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</si>
  <si>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</si>
  <si>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</si>
  <si>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</si>
  <si>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</si>
  <si>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</si>
  <si>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</si>
  <si>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</si>
  <si>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</si>
  <si>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</si>
  <si>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</si>
  <si>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</si>
  <si>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</si>
  <si>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</si>
  <si>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</si>
  <si>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</si>
  <si>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</si>
  <si>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</si>
  <si>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</si>
  <si>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</si>
  <si>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</si>
  <si>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</si>
  <si>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</si>
  <si>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</si>
  <si>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</si>
  <si>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</si>
  <si>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</si>
  <si>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</si>
  <si>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</si>
  <si>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</si>
  <si>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</si>
  <si>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</si>
  <si>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</si>
  <si>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</si>
  <si>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</si>
  <si>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</si>
  <si>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</si>
  <si>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</si>
  <si>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</si>
  <si>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</si>
  <si>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</si>
  <si>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</si>
  <si>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</si>
  <si>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</si>
  <si>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</si>
  <si>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</si>
  <si>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</si>
  <si>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</si>
  <si>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</si>
  <si>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</si>
  <si>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</si>
  <si>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</si>
  <si>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</si>
  <si>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</si>
  <si>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</si>
  <si>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</si>
  <si>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</si>
  <si>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</si>
  <si>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</si>
  <si>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</si>
  <si>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</si>
  <si>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</si>
  <si>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</si>
  <si>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</si>
  <si>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</si>
  <si>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</si>
  <si>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</si>
  <si>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</si>
  <si>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</si>
  <si>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</si>
  <si>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</si>
  <si>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</si>
  <si>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</si>
  <si>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</si>
  <si>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</si>
  <si>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</si>
  <si>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</si>
  <si>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</si>
  <si>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</si>
  <si>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</si>
  <si>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</si>
  <si>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</si>
  <si>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</si>
  <si>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</si>
  <si>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</si>
  <si>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</si>
  <si>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</si>
  <si>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</si>
  <si>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</si>
  <si>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</si>
  <si>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</si>
  <si>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</si>
  <si>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</si>
  <si>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</si>
  <si>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</si>
  <si>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</si>
  <si>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</si>
  <si>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</si>
  <si>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</si>
  <si>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</si>
  <si>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</si>
  <si>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</si>
  <si>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</si>
  <si>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</si>
  <si>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</si>
  <si>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</si>
  <si>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</si>
  <si>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</si>
  <si>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</si>
  <si>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</si>
  <si>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</si>
  <si>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</si>
  <si>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</si>
  <si>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</si>
  <si>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</si>
  <si>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</si>
  <si>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</si>
  <si>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</si>
  <si>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</si>
  <si>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</si>
  <si>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</si>
  <si>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</si>
  <si>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</si>
  <si>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</si>
  <si>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</si>
  <si>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</si>
  <si>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</si>
  <si>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</si>
  <si>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</si>
  <si>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</si>
  <si>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</si>
  <si>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</si>
  <si>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</si>
  <si>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</si>
  <si>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</si>
  <si>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</si>
  <si>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</si>
  <si>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</si>
  <si>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</si>
  <si>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</si>
  <si>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</si>
  <si>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</si>
  <si>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</si>
  <si>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</si>
  <si>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</si>
  <si>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</si>
  <si>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</si>
  <si>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</si>
  <si>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</si>
  <si>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</si>
  <si>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</si>
  <si>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</si>
  <si>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</si>
  <si>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</si>
  <si>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</si>
  <si>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</si>
  <si>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</si>
  <si>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</si>
  <si>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</si>
  <si>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</si>
  <si>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</si>
  <si>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</si>
  <si>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</si>
  <si>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</si>
  <si>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</si>
  <si>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</si>
  <si>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</si>
  <si>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</si>
  <si>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</si>
  <si>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</si>
  <si>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</si>
  <si>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</si>
  <si>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</si>
  <si>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</si>
  <si>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</si>
  <si>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</si>
  <si>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</si>
  <si>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</si>
  <si>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</si>
  <si>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</si>
  <si>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</si>
  <si>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</si>
  <si>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</si>
  <si>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</si>
  <si>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</si>
  <si>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</si>
  <si>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</si>
  <si>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</si>
  <si>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</si>
  <si>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</si>
  <si>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</si>
  <si>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</si>
  <si>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</si>
  <si>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</si>
  <si>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</si>
  <si>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</si>
  <si>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</si>
  <si>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</si>
  <si>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</si>
  <si>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</si>
  <si>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</si>
  <si>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</si>
  <si>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</si>
  <si>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</si>
  <si>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</si>
  <si>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</si>
  <si>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</si>
  <si>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</si>
  <si>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</si>
  <si>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</si>
  <si>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</si>
  <si>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</si>
  <si>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</si>
  <si>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</si>
  <si>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</si>
  <si>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</si>
  <si>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</si>
  <si>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</si>
  <si>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</si>
  <si>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</si>
  <si>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</si>
  <si>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</si>
  <si>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</si>
  <si>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</si>
  <si>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</si>
  <si>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</si>
  <si>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</si>
  <si>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</si>
  <si>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</si>
  <si>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</si>
  <si>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</si>
  <si>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</si>
  <si>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</si>
  <si>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</si>
  <si>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</si>
  <si>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</si>
  <si>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</si>
  <si>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</si>
  <si>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</si>
  <si>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</si>
  <si>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</si>
  <si>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</si>
  <si>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</si>
  <si>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</si>
  <si>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</si>
  <si>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</si>
  <si>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</si>
  <si>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</si>
  <si>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</si>
  <si>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</si>
  <si>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</si>
  <si>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</si>
  <si>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</si>
  <si>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</si>
  <si>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</si>
  <si>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</si>
  <si>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</si>
  <si>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</si>
  <si>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</si>
  <si>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</si>
  <si>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</si>
  <si>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</si>
  <si>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</si>
  <si>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</si>
  <si>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</si>
  <si>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</si>
  <si>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</si>
  <si>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</si>
  <si>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</si>
  <si>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</si>
  <si>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</si>
  <si>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</si>
  <si>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</si>
  <si>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</si>
  <si>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</si>
  <si>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</si>
  <si>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</si>
  <si>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</si>
  <si>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</si>
  <si>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</si>
  <si>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</si>
  <si>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</si>
  <si>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</si>
  <si>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</si>
  <si>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</si>
  <si>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</si>
  <si>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</si>
  <si>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</si>
  <si>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</si>
  <si>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</si>
  <si>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</si>
  <si>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</si>
  <si>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</si>
  <si>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</si>
  <si>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</si>
  <si>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</si>
  <si>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</si>
  <si>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</si>
  <si>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</si>
  <si>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</si>
  <si>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</si>
  <si>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</si>
  <si>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</si>
  <si>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</si>
  <si>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</si>
  <si>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</si>
  <si>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</si>
  <si>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</si>
  <si>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</si>
  <si>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</si>
  <si>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</si>
  <si>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</si>
  <si>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</si>
  <si>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</si>
  <si>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</si>
  <si>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</si>
  <si>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</si>
  <si>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</si>
  <si>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</si>
  <si>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</si>
  <si>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</si>
  <si>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</si>
  <si>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</si>
  <si>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</si>
  <si>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</si>
  <si>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</si>
  <si>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</si>
  <si>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</si>
  <si>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</si>
  <si>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</si>
  <si>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</si>
  <si>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</si>
  <si>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</si>
  <si>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</si>
  <si>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</si>
  <si>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</si>
  <si>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</si>
  <si>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</si>
  <si>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</si>
  <si>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</si>
  <si>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</si>
  <si>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</si>
  <si>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</si>
  <si>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</si>
  <si>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</si>
  <si>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</si>
  <si>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</si>
  <si>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</si>
  <si>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</si>
  <si>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</si>
  <si>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</si>
  <si>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</si>
  <si>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</si>
  <si>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</si>
  <si>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</si>
  <si>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</si>
  <si>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</si>
  <si>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</si>
  <si>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</si>
  <si>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</si>
  <si>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</si>
  <si>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</si>
  <si>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</si>
  <si>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</si>
  <si>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</si>
  <si>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</si>
  <si>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</si>
  <si>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</si>
  <si>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</si>
  <si>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</si>
  <si>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</si>
  <si>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</si>
  <si>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</si>
  <si>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</si>
  <si>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</si>
  <si>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</si>
  <si>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</si>
  <si>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</si>
  <si>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</si>
  <si>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</si>
  <si>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</si>
  <si>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</si>
  <si>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</si>
  <si>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</si>
  <si>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</si>
  <si>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</si>
  <si>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</si>
  <si>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</si>
  <si>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</si>
  <si>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</si>
  <si>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</si>
  <si>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</si>
  <si>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</si>
  <si>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</si>
  <si>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</si>
  <si>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</si>
  <si>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</si>
  <si>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</si>
  <si>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</si>
  <si>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</si>
  <si>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</si>
  <si>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</si>
  <si>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</si>
  <si>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</si>
  <si>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</si>
  <si>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</si>
  <si>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</si>
  <si>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</si>
  <si>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</si>
  <si>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</si>
  <si>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</si>
  <si>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</si>
  <si>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</si>
  <si>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</si>
  <si>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</si>
  <si>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</si>
  <si>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</si>
  <si>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</si>
  <si>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</si>
  <si>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</si>
  <si>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</si>
  <si>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</si>
  <si>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</si>
  <si>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</si>
  <si>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</si>
  <si>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</si>
  <si>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</si>
  <si>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</si>
  <si>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</si>
  <si>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</si>
  <si>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</si>
  <si>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</si>
  <si>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</si>
  <si>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</si>
  <si>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</si>
  <si>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</si>
  <si>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</si>
  <si>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</si>
  <si>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</si>
  <si>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</si>
  <si>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</si>
  <si>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</si>
  <si>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</si>
  <si>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</si>
  <si>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</si>
  <si>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</si>
  <si>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</si>
  <si>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</si>
  <si>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</si>
  <si>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</si>
  <si>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</si>
  <si>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</si>
  <si>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</si>
  <si>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</si>
  <si>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</si>
  <si>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</si>
  <si>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</si>
  <si>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</si>
  <si>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</si>
  <si>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</si>
  <si>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</si>
  <si>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</si>
  <si>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</si>
  <si>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</si>
  <si>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</si>
  <si>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</si>
  <si>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</si>
  <si>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</si>
  <si>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</si>
  <si>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</si>
  <si>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</si>
  <si>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</si>
  <si>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</si>
  <si>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</si>
  <si>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</si>
  <si>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</si>
  <si>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</si>
  <si>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</si>
  <si>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</si>
  <si>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</si>
  <si>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</si>
  <si>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</si>
  <si>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</si>
  <si>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</si>
  <si>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</si>
  <si>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</si>
  <si>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</si>
  <si>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</si>
  <si>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</si>
  <si>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</si>
  <si>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</si>
  <si>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</si>
  <si>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</si>
  <si>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</si>
  <si>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</si>
  <si>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</si>
  <si>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</si>
  <si>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</si>
  <si>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</si>
  <si>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</si>
  <si>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</si>
  <si>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</si>
  <si>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</si>
  <si>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</si>
  <si>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</si>
  <si>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</si>
  <si>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</si>
  <si>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</si>
  <si>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</si>
  <si>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</si>
  <si>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</si>
  <si>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</si>
  <si>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</si>
  <si>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</si>
  <si>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</si>
  <si>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</si>
  <si>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</si>
  <si>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</si>
  <si>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</si>
  <si>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</si>
  <si>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</si>
  <si>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</si>
  <si>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</si>
  <si>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</si>
  <si>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</si>
  <si>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</si>
  <si>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</si>
  <si>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</si>
  <si>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</si>
  <si>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</si>
  <si>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</si>
  <si>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</si>
  <si>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</si>
  <si>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</si>
  <si>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</si>
  <si>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</si>
  <si>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</si>
  <si>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</si>
  <si>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</si>
  <si>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</si>
  <si>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</si>
  <si>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</si>
  <si>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</si>
  <si>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</si>
  <si>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</si>
  <si>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</si>
  <si>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</si>
  <si>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</si>
  <si>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</si>
  <si>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</si>
  <si>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</si>
  <si>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</si>
  <si>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</si>
  <si>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</si>
  <si>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</si>
  <si>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</si>
  <si>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</si>
  <si>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</si>
  <si>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</si>
  <si>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</si>
  <si>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</si>
  <si>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</si>
  <si>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</si>
  <si>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</si>
  <si>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</si>
  <si>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</si>
  <si>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</si>
  <si>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</si>
  <si>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</si>
  <si>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</si>
  <si>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</si>
  <si>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</si>
  <si>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</si>
  <si>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</si>
  <si>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</si>
  <si>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</si>
  <si>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</si>
  <si>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</si>
  <si>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</si>
  <si>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</si>
  <si>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</si>
  <si>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</si>
  <si>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</si>
  <si>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</si>
  <si>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</si>
  <si>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</si>
  <si>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</si>
  <si>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</si>
  <si>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</si>
  <si>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</si>
  <si>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</si>
  <si>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</si>
  <si>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</si>
  <si>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</si>
  <si>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</si>
  <si>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</si>
  <si>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</si>
  <si>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</si>
  <si>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</si>
  <si>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</si>
  <si>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</si>
  <si>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</si>
  <si>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</si>
  <si>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</si>
  <si>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</si>
  <si>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</si>
  <si>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</si>
  <si>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</si>
  <si>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</si>
  <si>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</si>
  <si>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</si>
  <si>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</si>
  <si>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</si>
  <si>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</si>
  <si>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</si>
  <si>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</si>
  <si>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</si>
  <si>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</si>
  <si>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</si>
  <si>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</si>
  <si>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</si>
  <si>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</si>
  <si>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</si>
  <si>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</si>
  <si>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</si>
  <si>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</si>
  <si>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</si>
  <si>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</si>
  <si>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</si>
  <si>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</si>
  <si>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</si>
  <si>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</si>
  <si>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</si>
  <si>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</si>
  <si>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</si>
  <si>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</si>
  <si>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</si>
  <si>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</si>
  <si>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</si>
  <si>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</si>
  <si>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</si>
  <si>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</si>
  <si>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</si>
  <si>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</si>
  <si>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</si>
  <si>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</si>
  <si>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</si>
  <si>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</si>
  <si>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</si>
  <si>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</si>
  <si>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</si>
  <si>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</si>
  <si>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</si>
  <si>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</si>
  <si>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</si>
  <si>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</si>
  <si>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</si>
  <si>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</si>
  <si>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</si>
  <si>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</si>
  <si>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</si>
  <si>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</si>
  <si>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</si>
  <si>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</si>
  <si>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</si>
  <si>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</si>
  <si>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</si>
  <si>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</si>
  <si>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</si>
  <si>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</si>
  <si>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</si>
  <si>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</si>
  <si>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</si>
  <si>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</si>
  <si>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</si>
  <si>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</si>
  <si>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</si>
  <si>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</si>
  <si>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</si>
  <si>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</si>
  <si>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</si>
  <si>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</si>
  <si>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</si>
  <si>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</si>
  <si>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</si>
  <si>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</si>
  <si>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</si>
  <si>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</si>
  <si>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</si>
  <si>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</si>
  <si>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</si>
  <si>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</si>
  <si>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</si>
  <si>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</si>
  <si>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</si>
  <si>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</si>
  <si>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</si>
  <si>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</si>
  <si>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</si>
  <si>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</si>
  <si>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</si>
  <si>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</si>
  <si>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</si>
  <si>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</si>
  <si>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</si>
  <si>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</si>
  <si>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</si>
  <si>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</si>
  <si>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</si>
  <si>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</si>
  <si>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</si>
  <si>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</si>
  <si>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</si>
  <si>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</si>
  <si>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</si>
  <si>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</si>
  <si>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</si>
  <si>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</si>
  <si>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</si>
  <si>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</si>
  <si>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</si>
  <si>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</si>
  <si>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</si>
  <si>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</si>
  <si>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</si>
  <si>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</si>
  <si>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</si>
  <si>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</si>
  <si>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</si>
  <si>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</si>
  <si>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</si>
  <si>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</si>
  <si>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</si>
  <si>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</si>
  <si>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</si>
  <si>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</si>
  <si>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</si>
  <si>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</si>
  <si>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</si>
  <si>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</si>
  <si>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</si>
  <si>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</si>
  <si>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</si>
  <si>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</si>
  <si>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</si>
  <si>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</si>
  <si>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</si>
  <si>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</si>
  <si>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</si>
  <si>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</si>
  <si>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</si>
  <si>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</si>
  <si>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</si>
  <si>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</si>
  <si>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</si>
  <si>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</si>
  <si>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</si>
  <si>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</si>
  <si>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</si>
  <si>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</si>
  <si>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</si>
  <si>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</si>
  <si>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</si>
  <si>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</si>
  <si>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</si>
  <si>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</si>
  <si>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</si>
  <si>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</si>
  <si>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</si>
  <si>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</si>
  <si>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</si>
  <si>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</si>
  <si>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</si>
  <si>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</si>
  <si>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</si>
  <si>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</si>
  <si>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</si>
  <si>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</si>
  <si>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</si>
  <si>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</si>
  <si>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</si>
  <si>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</si>
  <si>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</si>
  <si>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</si>
  <si>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</si>
  <si>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</si>
  <si>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</si>
  <si>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</si>
  <si>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</si>
  <si>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</si>
  <si>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</si>
  <si>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</si>
  <si>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</si>
  <si>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</si>
  <si>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</si>
  <si>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</si>
  <si>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</si>
  <si>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</si>
  <si>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</si>
  <si>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</si>
  <si>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</si>
  <si>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</si>
  <si>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</si>
  <si>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</si>
  <si>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</si>
  <si>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</si>
  <si>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</si>
  <si>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</si>
  <si>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</si>
  <si>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</si>
  <si>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</si>
  <si>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</si>
  <si>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</si>
  <si>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</si>
  <si>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</si>
  <si>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</si>
  <si>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</si>
  <si>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</si>
  <si>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</si>
  <si>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</si>
  <si>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</si>
  <si>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</si>
  <si>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</si>
  <si>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</si>
  <si>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</si>
  <si>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</si>
  <si>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</si>
  <si>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</si>
  <si>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</si>
  <si>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</si>
  <si>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</si>
  <si>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</si>
  <si>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</si>
  <si>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</si>
  <si>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</si>
  <si>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</si>
  <si>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</si>
  <si>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</si>
  <si>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</si>
  <si>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</si>
  <si>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</si>
  <si>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</si>
  <si>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</si>
  <si>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</si>
  <si>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</si>
  <si>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</si>
  <si>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</si>
  <si>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</si>
  <si>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</si>
  <si>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</si>
  <si>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</si>
  <si>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</si>
  <si>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</si>
  <si>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</si>
  <si>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</si>
  <si>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</si>
  <si>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</si>
  <si>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</si>
  <si>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</si>
  <si>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</si>
  <si>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</si>
  <si>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</si>
  <si>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</si>
  <si>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</si>
  <si>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</si>
  <si>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</si>
  <si>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</si>
  <si>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</si>
  <si>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</si>
  <si>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</si>
  <si>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</si>
  <si>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</si>
  <si>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</si>
  <si>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</si>
  <si>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</si>
  <si>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</si>
  <si>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</si>
  <si>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</si>
  <si>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</si>
  <si>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</si>
  <si>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</si>
  <si>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</si>
  <si>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</si>
  <si>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</si>
  <si>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</si>
  <si>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</si>
  <si>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</si>
  <si>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</si>
  <si>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</si>
  <si>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</si>
  <si>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</si>
  <si>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</si>
  <si>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</si>
  <si>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</si>
  <si>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</si>
  <si>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</si>
  <si>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</si>
  <si>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</si>
  <si>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</si>
  <si>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</si>
  <si>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</si>
  <si>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</si>
  <si>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</si>
  <si>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</si>
  <si>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</si>
  <si>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</si>
  <si>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</si>
  <si>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</si>
  <si>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</si>
  <si>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</si>
  <si>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</si>
  <si>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</si>
  <si>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</si>
  <si>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</si>
  <si>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</si>
  <si>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</si>
  <si>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</si>
  <si>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</si>
  <si>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</si>
  <si>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</si>
  <si>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</si>
  <si>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</si>
  <si>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</si>
  <si>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</si>
  <si>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</si>
  <si>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</si>
  <si>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</si>
  <si>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</si>
  <si>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</si>
  <si>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</si>
  <si>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</si>
  <si>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</si>
  <si>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</si>
  <si>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</si>
  <si>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</si>
  <si>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</si>
  <si>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</si>
  <si>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</si>
  <si>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</si>
  <si>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</si>
  <si>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</si>
  <si>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</si>
  <si>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</si>
  <si>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</si>
  <si>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</si>
  <si>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</si>
  <si>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</si>
  <si>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</si>
  <si>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</si>
  <si>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</si>
  <si>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</si>
  <si>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</si>
  <si>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</si>
  <si>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</si>
  <si>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</si>
  <si>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</si>
  <si>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</si>
  <si>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</si>
  <si>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</si>
  <si>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</si>
  <si>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</si>
  <si>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</si>
  <si>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</si>
  <si>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</si>
  <si>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</si>
  <si>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</si>
  <si>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</si>
  <si>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</si>
  <si>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</si>
  <si>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</si>
  <si>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</si>
  <si>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</si>
  <si>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</si>
  <si>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</si>
  <si>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</si>
  <si>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</si>
  <si>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</si>
  <si>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</si>
  <si>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</si>
  <si>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</si>
  <si>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</si>
  <si>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</si>
  <si>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</si>
  <si>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</si>
  <si>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</si>
  <si>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</si>
  <si>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</si>
  <si>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</si>
  <si>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</si>
  <si>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</si>
  <si>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</si>
  <si>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</si>
  <si>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</si>
  <si>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</si>
  <si>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</si>
  <si>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</si>
  <si>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</si>
  <si>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</si>
  <si>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</si>
  <si>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</si>
  <si>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</si>
  <si>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</si>
  <si>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</si>
  <si>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</si>
  <si>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</si>
  <si>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</si>
  <si>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</si>
  <si>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</si>
  <si>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</si>
  <si>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</si>
  <si>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</si>
  <si>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</si>
  <si>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</si>
  <si>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</si>
  <si>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</si>
  <si>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</si>
  <si>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</si>
  <si>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</si>
  <si>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</si>
  <si>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</si>
  <si>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</si>
  <si>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</si>
  <si>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</si>
  <si>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</si>
  <si>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</si>
  <si>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</si>
  <si>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</si>
  <si>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</si>
  <si>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</si>
  <si>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</si>
  <si>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</si>
  <si>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</si>
  <si>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</si>
  <si>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</si>
  <si>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</si>
  <si>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</si>
  <si>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</si>
  <si>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</si>
  <si>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</si>
  <si>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</si>
  <si>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</si>
  <si>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</si>
  <si>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</si>
  <si>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</si>
  <si>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</si>
  <si>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</si>
  <si>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</si>
  <si>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</si>
  <si>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</si>
  <si>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</si>
  <si>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</si>
  <si>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</si>
  <si>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</si>
  <si>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</si>
  <si>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</si>
  <si>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</si>
  <si>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</si>
  <si>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</si>
  <si>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</si>
  <si>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</si>
  <si>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</si>
  <si>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</si>
  <si>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</si>
  <si>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</si>
  <si>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</si>
  <si>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</si>
  <si>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</si>
  <si>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</si>
  <si>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</si>
  <si>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</si>
  <si>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</si>
  <si>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</si>
  <si>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</si>
  <si>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</si>
  <si>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</si>
  <si>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</si>
  <si>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</si>
  <si>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</si>
  <si>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</si>
  <si>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</si>
  <si>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</si>
  <si>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</si>
  <si>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</si>
  <si>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</si>
  <si>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</si>
  <si>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</si>
  <si>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</si>
  <si>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</si>
  <si>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</si>
  <si>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</si>
  <si>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</si>
  <si>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</si>
  <si>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</si>
  <si>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</si>
  <si>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</si>
  <si>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</si>
  <si>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</si>
  <si>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</si>
  <si>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</si>
  <si>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</si>
  <si>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</si>
  <si>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</si>
  <si>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</si>
  <si>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</si>
  <si>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</si>
  <si>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</si>
  <si>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</si>
  <si>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</si>
  <si>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</si>
  <si>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</si>
  <si>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</si>
  <si>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</si>
  <si>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</si>
  <si>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</si>
  <si>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</si>
  <si>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</si>
  <si>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</si>
  <si>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</si>
  <si>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</si>
  <si>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</si>
  <si>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</si>
  <si>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</si>
  <si>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</si>
  <si>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</si>
  <si>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</si>
  <si>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</si>
  <si>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</si>
  <si>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</si>
  <si>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</si>
  <si>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</si>
  <si>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</si>
  <si>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</si>
  <si>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</si>
  <si>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</si>
  <si>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</si>
  <si>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</si>
  <si>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</si>
  <si>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</si>
  <si>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</si>
  <si>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</si>
  <si>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</si>
  <si>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</si>
  <si>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</si>
  <si>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</si>
  <si>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</si>
  <si>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</si>
  <si>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</si>
  <si>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</si>
  <si>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</si>
  <si>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</si>
  <si>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</si>
  <si>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</si>
  <si>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</si>
  <si>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</si>
  <si>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</si>
  <si>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</si>
  <si>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</si>
  <si>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</si>
  <si>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</si>
  <si>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</si>
  <si>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</si>
  <si>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</si>
  <si>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</si>
  <si>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</si>
  <si>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</si>
  <si>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</si>
  <si>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</si>
  <si>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</si>
  <si>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</si>
  <si>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</si>
  <si>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</si>
  <si>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</si>
  <si>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</si>
  <si>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</si>
  <si>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</si>
  <si>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</si>
  <si>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</si>
  <si>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</si>
  <si>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</si>
  <si>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</si>
  <si>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</si>
  <si>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</si>
  <si>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</si>
  <si>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</si>
  <si>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</si>
  <si>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</si>
  <si>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</si>
  <si>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</si>
  <si>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</si>
  <si>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</si>
  <si>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</si>
  <si>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</si>
  <si>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</si>
  <si>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</si>
  <si>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</si>
  <si>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</si>
  <si>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</si>
  <si>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</si>
  <si>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</si>
  <si>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</si>
  <si>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</si>
  <si>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</si>
  <si>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</si>
  <si>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</si>
  <si>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</si>
  <si>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</si>
  <si>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</si>
  <si>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</si>
  <si>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</si>
  <si>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</si>
  <si>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</si>
  <si>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</si>
  <si>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</si>
  <si>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</si>
  <si>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</si>
  <si>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</si>
  <si>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</si>
  <si>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</si>
  <si>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</si>
  <si>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</si>
  <si>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</si>
  <si>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</si>
  <si>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</si>
  <si>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</si>
  <si>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</si>
  <si>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</si>
  <si>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</si>
  <si>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</si>
  <si>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</si>
  <si>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</si>
  <si>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</si>
  <si>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</si>
  <si>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</si>
  <si>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</si>
  <si>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</si>
  <si>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</si>
  <si>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</si>
  <si>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</si>
  <si>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</si>
  <si>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</si>
  <si>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</si>
  <si>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</si>
  <si>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</si>
  <si>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</si>
  <si>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</si>
  <si>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</si>
  <si>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</si>
  <si>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</si>
  <si>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</si>
  <si>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</si>
  <si>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</si>
  <si>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</si>
  <si>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</si>
  <si>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</si>
  <si>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</si>
  <si>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</si>
  <si>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</si>
  <si>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</si>
  <si>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</si>
  <si>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</si>
  <si>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</si>
  <si>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</si>
  <si>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</si>
  <si>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</si>
  <si>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</si>
  <si>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</si>
  <si>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</si>
  <si>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</si>
  <si>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</si>
  <si>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</si>
  <si>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</si>
  <si>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</si>
  <si>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</si>
  <si>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</si>
  <si>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</si>
  <si>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</si>
  <si>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</si>
  <si>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</si>
  <si>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</si>
  <si>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</si>
  <si>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</si>
  <si>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</si>
  <si>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</si>
  <si>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</si>
  <si>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</si>
  <si>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</si>
  <si>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</si>
  <si>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</si>
  <si>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</si>
  <si>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</si>
  <si>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</si>
  <si>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</si>
  <si>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</si>
  <si>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</si>
  <si>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</si>
  <si>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</si>
  <si>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</si>
  <si>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</si>
  <si>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</si>
  <si>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</si>
  <si>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</si>
  <si>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</si>
  <si>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</si>
  <si>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</si>
  <si>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</si>
  <si>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</si>
  <si>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</si>
  <si>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</si>
  <si>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</si>
  <si>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</si>
  <si>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</si>
  <si>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</si>
  <si>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</si>
  <si>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</si>
  <si>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</si>
  <si>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</si>
  <si>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</si>
  <si>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</si>
  <si>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</si>
  <si>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</si>
  <si>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</si>
  <si>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</si>
  <si>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</si>
  <si>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</si>
  <si>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</si>
  <si>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</si>
  <si>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</si>
  <si>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</si>
  <si>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</si>
  <si>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</si>
  <si>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</si>
  <si>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</si>
  <si>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</si>
  <si>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</si>
  <si>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</si>
  <si>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</si>
  <si>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</si>
  <si>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</si>
  <si>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</si>
  <si>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</si>
  <si>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</si>
  <si>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</si>
  <si>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</si>
  <si>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</si>
  <si>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</si>
  <si>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</si>
  <si>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</si>
  <si>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</si>
  <si>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</si>
  <si>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</si>
  <si>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</si>
  <si>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</si>
  <si>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</si>
  <si>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</si>
  <si>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</si>
  <si>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</si>
  <si>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</si>
  <si>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</si>
  <si>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</si>
  <si>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</si>
  <si>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</si>
  <si>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</si>
  <si>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</si>
  <si>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</si>
  <si>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</si>
  <si>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</si>
  <si>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</si>
  <si>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</si>
  <si>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</si>
  <si>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</si>
  <si>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</si>
  <si>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</si>
  <si>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</si>
  <si>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</si>
  <si>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</si>
  <si>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</si>
  <si>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</si>
  <si>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</si>
  <si>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</si>
  <si>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</si>
  <si>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</si>
  <si>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</si>
  <si>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</si>
  <si>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</si>
  <si>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</si>
  <si>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</si>
  <si>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</si>
  <si>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</si>
  <si>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</si>
  <si>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</si>
  <si>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</si>
  <si>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</si>
  <si>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</si>
  <si>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</si>
  <si>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</si>
  <si>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</si>
  <si>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</si>
  <si>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</si>
  <si>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</si>
  <si>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</si>
  <si>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</si>
  <si>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</si>
  <si>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</si>
  <si>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</si>
  <si>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</si>
  <si>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</si>
  <si>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</si>
  <si>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</si>
  <si>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</si>
  <si>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</si>
  <si>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</si>
  <si>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</si>
  <si>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</si>
  <si>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</si>
  <si>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</si>
  <si>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</si>
  <si>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</si>
  <si>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</si>
  <si>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</si>
  <si>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</si>
  <si>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</si>
  <si>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</si>
  <si>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</si>
  <si>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</si>
  <si>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</si>
  <si>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</si>
  <si>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</si>
  <si>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</si>
  <si>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</si>
  <si>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</si>
  <si>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</si>
  <si>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</si>
  <si>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</si>
  <si>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</si>
  <si>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</si>
  <si>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</si>
  <si>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</si>
  <si>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</si>
  <si>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</si>
  <si>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</si>
  <si>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</si>
  <si>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</si>
  <si>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</si>
  <si>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</si>
  <si>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</si>
  <si>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</si>
  <si>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</si>
  <si>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</si>
  <si>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</si>
  <si>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</si>
  <si>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</si>
  <si>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</si>
  <si>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</si>
  <si>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</si>
  <si>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</si>
  <si>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</si>
  <si>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</si>
  <si>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</si>
  <si>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</si>
  <si>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</si>
  <si>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</si>
  <si>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</si>
  <si>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</si>
  <si>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</si>
  <si>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</si>
  <si>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</si>
  <si>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</si>
  <si>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</si>
  <si>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</si>
  <si>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</si>
  <si>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</si>
  <si>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</si>
  <si>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</si>
  <si>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</si>
  <si>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</si>
  <si>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</si>
  <si>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</si>
  <si>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</si>
  <si>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</si>
  <si>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</si>
  <si>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</si>
  <si>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</si>
  <si>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</si>
  <si>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</si>
  <si>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</si>
  <si>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</si>
  <si>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</si>
  <si>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</si>
  <si>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</si>
  <si>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</si>
  <si>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</si>
  <si>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</si>
  <si>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</si>
  <si>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</si>
  <si>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</si>
  <si>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</si>
  <si>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</si>
  <si>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</si>
  <si>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</si>
  <si>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</si>
  <si>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</si>
  <si>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</si>
  <si>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</si>
  <si>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</si>
  <si>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</si>
  <si>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</si>
  <si>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</si>
  <si>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</si>
  <si>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</si>
  <si>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</si>
  <si>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</si>
  <si>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</si>
  <si>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</si>
  <si>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</si>
  <si>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</si>
  <si>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</si>
  <si>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</si>
  <si>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</si>
  <si>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</si>
  <si>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</si>
  <si>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</si>
  <si>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</si>
  <si>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</si>
  <si>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</si>
  <si>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</si>
  <si>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</si>
  <si>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</si>
  <si>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</si>
  <si>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</si>
  <si>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</si>
  <si>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</si>
  <si>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</si>
  <si>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</si>
  <si>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</si>
  <si>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</si>
  <si>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</si>
  <si>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</si>
  <si>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</si>
  <si>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</si>
  <si>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</si>
  <si>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</si>
  <si>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</si>
  <si>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</si>
  <si>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</si>
  <si>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</si>
  <si>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</si>
  <si>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</si>
  <si>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</si>
  <si>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</si>
  <si>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</si>
  <si>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</si>
  <si>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</si>
  <si>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</si>
  <si>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</si>
  <si>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</si>
  <si>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</si>
  <si>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</si>
  <si>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</si>
  <si>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</si>
  <si>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</si>
  <si>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</si>
  <si>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</si>
  <si>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</si>
  <si>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</si>
  <si>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</si>
  <si>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</si>
  <si>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</si>
  <si>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</si>
  <si>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</si>
  <si>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</si>
  <si>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</si>
  <si>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</si>
  <si>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</si>
  <si>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</si>
  <si>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</si>
  <si>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</si>
  <si>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</si>
  <si>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</si>
  <si>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</si>
  <si>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</si>
  <si>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</si>
  <si>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</si>
  <si>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</si>
  <si>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</si>
  <si>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</si>
  <si>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</si>
  <si>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</si>
  <si>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</si>
  <si>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</si>
  <si>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</si>
  <si>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</si>
  <si>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</si>
  <si>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</si>
  <si>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</si>
  <si>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</si>
  <si>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</si>
  <si>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</si>
  <si>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</si>
  <si>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</si>
  <si>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</si>
  <si>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</si>
  <si>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</si>
  <si>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</si>
  <si>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</si>
  <si>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</si>
  <si>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</si>
  <si>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</si>
  <si>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</si>
  <si>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</si>
  <si>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</si>
  <si>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</si>
  <si>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</si>
  <si>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</si>
  <si>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</si>
  <si>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</si>
  <si>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</si>
  <si>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</si>
  <si>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</si>
  <si>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</si>
  <si>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</si>
  <si>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</si>
  <si>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</si>
  <si>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</si>
  <si>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</si>
  <si>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</si>
  <si>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</si>
  <si>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</si>
  <si>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</si>
  <si>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</si>
  <si>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</si>
  <si>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</si>
  <si>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</si>
  <si>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</si>
  <si>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</si>
  <si>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</si>
  <si>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</si>
  <si>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</si>
  <si>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</si>
  <si>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</si>
  <si>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</si>
  <si>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</si>
  <si>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</si>
  <si>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</si>
  <si>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</si>
  <si>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</si>
  <si>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</si>
  <si>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</si>
  <si>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</si>
  <si>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</si>
  <si>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</si>
  <si>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</si>
  <si>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</si>
  <si>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</si>
  <si>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</si>
  <si>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</si>
  <si>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</si>
  <si>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</si>
  <si>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</si>
  <si>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</si>
  <si>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</si>
  <si>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</si>
  <si>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</si>
  <si>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</si>
  <si>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</si>
  <si>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</si>
  <si>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</si>
  <si>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</si>
  <si>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</si>
  <si>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</si>
  <si>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</si>
  <si>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</si>
  <si>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</si>
  <si>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</si>
  <si>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</si>
  <si>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</si>
  <si>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</si>
  <si>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</si>
  <si>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</si>
  <si>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</si>
  <si>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</si>
  <si>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</si>
  <si>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</si>
  <si>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</si>
  <si>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</si>
  <si>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</si>
  <si>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</si>
  <si>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</si>
  <si>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</si>
  <si>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</si>
  <si>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</si>
  <si>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</si>
  <si>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</si>
  <si>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</si>
  <si>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</si>
  <si>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</si>
  <si>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</si>
  <si>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</si>
  <si>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</si>
  <si>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</si>
  <si>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</si>
  <si>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</si>
  <si>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</si>
  <si>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</si>
  <si>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</si>
  <si>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</si>
  <si>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</si>
  <si>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</si>
  <si>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</si>
  <si>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</si>
  <si>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</si>
  <si>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</si>
  <si>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</si>
  <si>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</si>
  <si>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</si>
  <si>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</si>
  <si>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</si>
  <si>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</si>
  <si>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</si>
  <si>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</si>
  <si>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</si>
  <si>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</si>
  <si>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</si>
  <si>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</si>
  <si>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</si>
  <si>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</si>
  <si>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</si>
  <si>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</si>
  <si>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</si>
  <si>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</si>
  <si>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</si>
  <si>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</si>
  <si>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</si>
  <si>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</si>
  <si>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</si>
  <si>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</si>
  <si>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</si>
  <si>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</si>
  <si>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</si>
  <si>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</si>
  <si>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</si>
  <si>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</si>
  <si>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</si>
  <si>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</si>
  <si>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</si>
  <si>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</si>
  <si>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</si>
  <si>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</si>
  <si>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</si>
  <si>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</si>
  <si>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</si>
  <si>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</si>
  <si>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</si>
  <si>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</si>
  <si>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</si>
  <si>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</si>
  <si>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</si>
  <si>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</si>
  <si>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</si>
  <si>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</si>
  <si>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</si>
  <si>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</si>
  <si>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</si>
  <si>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</si>
  <si>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</si>
  <si>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</si>
  <si>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</si>
  <si>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</si>
  <si>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</si>
  <si>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</si>
  <si>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</si>
  <si>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</si>
  <si>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</si>
  <si>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</si>
  <si>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</si>
  <si>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</si>
  <si>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</si>
  <si>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</si>
  <si>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</si>
  <si>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</si>
  <si>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</si>
  <si>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</si>
  <si>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</si>
  <si>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</si>
  <si>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</si>
  <si>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</si>
  <si>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</si>
  <si>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</si>
  <si>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</si>
  <si>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</si>
  <si>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</si>
  <si>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</si>
  <si>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</si>
  <si>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</si>
  <si>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</si>
  <si>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</si>
  <si>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</si>
  <si>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</si>
  <si>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</si>
  <si>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</si>
  <si>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</si>
  <si>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</si>
  <si>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</si>
  <si>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</si>
  <si>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</si>
  <si>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</si>
  <si>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</si>
  <si>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</si>
  <si>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</si>
  <si>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</si>
  <si>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</si>
  <si>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</si>
  <si>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</si>
  <si>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</si>
  <si>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</si>
  <si>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</si>
  <si>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</si>
  <si>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</si>
  <si>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</si>
  <si>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</si>
  <si>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</si>
  <si>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</si>
  <si>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</si>
  <si>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</si>
  <si>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</si>
  <si>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</si>
  <si>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</si>
  <si>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</si>
  <si>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</si>
  <si>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</si>
  <si>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</si>
  <si>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</si>
  <si>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</si>
  <si>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</si>
  <si>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</si>
  <si>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</si>
  <si>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</si>
  <si>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</si>
  <si>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</si>
  <si>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</si>
  <si>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</si>
  <si>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</si>
  <si>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</si>
  <si>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</si>
  <si>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</si>
  <si>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</si>
  <si>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</si>
  <si>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</si>
  <si>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</si>
  <si>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</si>
  <si>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</si>
  <si>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</si>
  <si>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</si>
  <si>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</si>
  <si>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</si>
  <si>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</si>
  <si>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</si>
  <si>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</si>
  <si>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</si>
  <si>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</si>
  <si>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</si>
  <si>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</si>
  <si>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</si>
  <si>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</si>
  <si>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</si>
  <si>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</si>
  <si>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</si>
  <si>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</si>
  <si>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</si>
  <si>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</si>
  <si>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</si>
  <si>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</si>
  <si>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</si>
  <si>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</si>
  <si>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</si>
  <si>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</si>
  <si>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</si>
  <si>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</si>
  <si>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</si>
  <si>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</si>
  <si>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</si>
  <si>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</si>
  <si>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</si>
  <si>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</si>
  <si>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</si>
  <si>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</si>
  <si>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</si>
  <si>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</si>
  <si>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</si>
  <si>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</si>
  <si>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</si>
  <si>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</si>
  <si>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</si>
  <si>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</si>
  <si>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</si>
  <si>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</si>
  <si>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</si>
  <si>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</si>
  <si>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</si>
  <si>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</si>
  <si>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</si>
  <si>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</si>
  <si>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</si>
  <si>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</si>
  <si>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</si>
  <si>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</si>
  <si>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</si>
  <si>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</si>
  <si>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</si>
  <si>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</si>
  <si>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</si>
  <si>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</si>
  <si>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</si>
  <si>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</si>
  <si>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</si>
  <si>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</si>
  <si>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</si>
  <si>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</si>
  <si>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</si>
  <si>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</si>
  <si>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</si>
  <si>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</si>
  <si>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</si>
  <si>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</si>
  <si>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</si>
  <si>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</si>
  <si>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</si>
  <si>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</si>
  <si>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</si>
  <si>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</si>
  <si>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</si>
  <si>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</si>
  <si>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</si>
  <si>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</si>
  <si>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</si>
  <si>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</si>
  <si>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</si>
  <si>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</si>
  <si>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</si>
  <si>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</si>
  <si>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</si>
  <si>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</si>
  <si>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</si>
  <si>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</si>
  <si>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</si>
  <si>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</si>
  <si>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</si>
  <si>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</si>
  <si>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</si>
  <si>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</si>
  <si>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</si>
  <si>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</si>
  <si>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</si>
  <si>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</si>
  <si>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</si>
  <si>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</si>
  <si>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</si>
  <si>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</si>
  <si>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</si>
  <si>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</si>
  <si>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</si>
  <si>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</si>
  <si>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</si>
  <si>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</si>
  <si>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</si>
  <si>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</si>
  <si>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</si>
  <si>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</si>
  <si>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</si>
  <si>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</si>
  <si>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</si>
  <si>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</si>
  <si>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</si>
  <si>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</si>
  <si>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</si>
  <si>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</si>
  <si>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</si>
  <si>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</si>
  <si>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</si>
  <si>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</si>
  <si>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</si>
  <si>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</si>
  <si>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</si>
  <si>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</si>
  <si>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</si>
  <si>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</si>
  <si>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</si>
  <si>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</si>
  <si>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</si>
  <si>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</si>
  <si>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</si>
  <si>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</si>
  <si>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</si>
  <si>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</si>
  <si>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</si>
  <si>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</si>
  <si>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</si>
  <si>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</si>
  <si>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</si>
  <si>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</si>
  <si>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</si>
  <si>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</si>
  <si>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</si>
  <si>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</si>
  <si>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</si>
  <si>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</si>
  <si>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</si>
  <si>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</si>
  <si>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</si>
  <si>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</si>
  <si>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</si>
  <si>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</si>
  <si>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</si>
  <si>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</si>
  <si>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</si>
  <si>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</si>
  <si>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</si>
  <si>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</si>
  <si>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</si>
  <si>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</si>
  <si>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</si>
  <si>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</si>
  <si>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</si>
  <si>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</si>
  <si>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</si>
  <si>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</si>
  <si>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</si>
  <si>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</si>
  <si>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</si>
  <si>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</si>
  <si>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</si>
  <si>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</si>
  <si>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</si>
  <si>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</si>
  <si>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</si>
  <si>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</si>
  <si>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</si>
  <si>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</si>
  <si>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</si>
  <si>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</si>
  <si>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</si>
  <si>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</si>
  <si>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</si>
  <si>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</si>
  <si>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</si>
  <si>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</si>
  <si>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</si>
  <si>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</si>
  <si>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</si>
  <si>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</si>
  <si>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</si>
  <si>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</si>
  <si>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</si>
  <si>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</si>
  <si>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</si>
  <si>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</si>
  <si>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</si>
  <si>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</si>
  <si>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</si>
  <si>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</si>
  <si>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</si>
  <si>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</si>
  <si>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</si>
  <si>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</si>
  <si>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</si>
  <si>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</si>
  <si>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</si>
  <si>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</si>
  <si>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</si>
  <si>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</si>
  <si>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</si>
  <si>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</si>
  <si>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</si>
  <si>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</si>
  <si>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</si>
  <si>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</si>
  <si>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</si>
  <si>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</si>
  <si>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</si>
  <si>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</si>
  <si>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</si>
  <si>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</si>
  <si>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</si>
  <si>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</si>
  <si>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</si>
  <si>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</si>
  <si>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</si>
  <si>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</si>
  <si>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</si>
  <si>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</si>
  <si>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</si>
  <si>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</si>
  <si>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</si>
  <si>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</si>
  <si>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</si>
  <si>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</si>
  <si>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</si>
  <si>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</si>
  <si>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</si>
  <si>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</si>
  <si>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</si>
  <si>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</si>
  <si>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</si>
  <si>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</si>
  <si>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</si>
  <si>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</si>
  <si>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</si>
  <si>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</si>
  <si>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</si>
  <si>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</si>
  <si>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</si>
  <si>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</si>
  <si>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</si>
  <si>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</si>
  <si>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</si>
  <si>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</si>
  <si>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</si>
  <si>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</si>
  <si>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</si>
  <si>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</si>
  <si>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</si>
  <si>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</si>
  <si>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</si>
  <si>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</si>
  <si>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</si>
  <si>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</si>
  <si>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</si>
  <si>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</si>
  <si>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</si>
  <si>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</si>
  <si>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</si>
  <si>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</si>
  <si>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</si>
  <si>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</si>
  <si>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</si>
  <si>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</si>
  <si>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</si>
  <si>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</si>
  <si>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</si>
  <si>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</si>
  <si>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</si>
  <si>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</si>
  <si>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</si>
  <si>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</si>
  <si>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</si>
  <si>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</si>
  <si>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</si>
  <si>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</si>
  <si>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</si>
  <si>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Gravone</t>
  </si>
  <si>
    <t xml:space="preserve">Bocognano</t>
  </si>
  <si>
    <t xml:space="preserve">06215900</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</si>
  <si>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</si>
  <si>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</si>
  <si>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</si>
  <si>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</si>
  <si>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</si>
  <si>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</si>
  <si>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</si>
  <si>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</si>
  <si>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</si>
  <si>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</si>
  <si>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</si>
  <si>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</si>
  <si>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</si>
  <si>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</si>
  <si>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</si>
  <si>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</si>
  <si>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</si>
  <si>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</si>
  <si>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</si>
  <si>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</si>
  <si>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</si>
  <si>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</si>
  <si>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</si>
  <si>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</si>
  <si>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</si>
  <si>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</si>
  <si>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</si>
  <si>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</si>
  <si>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</si>
  <si>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</si>
  <si>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</si>
  <si>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</si>
  <si>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</si>
  <si>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</si>
  <si>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</si>
  <si>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</si>
  <si>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</si>
  <si>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</si>
  <si>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</si>
  <si>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</si>
  <si>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</si>
  <si>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</si>
  <si>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</si>
  <si>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</si>
  <si>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</si>
  <si>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</si>
  <si>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</si>
  <si>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</si>
  <si>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</si>
  <si>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</si>
  <si>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(5,5046 %)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</si>
  <si>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</si>
  <si>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</si>
  <si>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</si>
  <si>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</si>
  <si>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</si>
  <si>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</si>
  <si>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</si>
  <si>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</si>
  <si>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</si>
  <si>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</si>
  <si>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</si>
  <si>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</si>
  <si>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</si>
  <si>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</si>
  <si>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</si>
  <si>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</si>
  <si>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</si>
  <si>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</si>
  <si>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</si>
  <si>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</si>
  <si>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Klebsormidium sp.</t>
  </si>
  <si>
    <t xml:space="preserve">Carex frigida</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</si>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</sst>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65" fontId="101" fillId="0" borderId="0" xfId="0" applyFont="true" applyBorder="false" applyAlignment="false" applyProtection="true">
      <alignment horizontal="general" vertical="bottom" textRotation="0" wrapText="false" indent="0" shrinkToFit="false"/>
      <protection locked="true" hidden="tru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15</v>
      </c>
      <c r="M5" s="323"/>
      <c r="N5" s="324" t="s">
        <v>154</v>
      </c>
      <c r="O5" s="325" t="n">
        <v>15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88</v>
      </c>
      <c r="C7" s="337" t="n">
        <v>12</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12.875</v>
      </c>
      <c r="O8" s="354" t="n">
        <f aca="false">IF(ISERROR(AVERAGE(J23:J82)),"      -",AVERAGE(J23:J82))</f>
        <v>1.875</v>
      </c>
      <c r="P8" s="355"/>
      <c r="Q8" s="280"/>
      <c r="R8" s="280"/>
      <c r="S8" s="280"/>
      <c r="T8" s="280"/>
      <c r="U8" s="280"/>
      <c r="V8" s="280"/>
      <c r="W8" s="292"/>
      <c r="X8" s="293"/>
    </row>
    <row r="9" customFormat="false" ht="13.5" hidden="false" customHeight="false" outlineLevel="0" collapsed="false">
      <c r="A9" s="313" t="s">
        <v>2635</v>
      </c>
      <c r="B9" s="356" t="n">
        <v>6</v>
      </c>
      <c r="C9" s="357" t="n">
        <v>1.6</v>
      </c>
      <c r="D9" s="358"/>
      <c r="E9" s="358"/>
      <c r="F9" s="359" t="n">
        <f aca="false">($B9*$B$7+$C9*$C$7)/100</f>
        <v>5.472</v>
      </c>
      <c r="G9" s="360"/>
      <c r="H9" s="361"/>
      <c r="I9" s="362"/>
      <c r="J9" s="363"/>
      <c r="K9" s="343"/>
      <c r="L9" s="364"/>
      <c r="M9" s="353" t="s">
        <v>2636</v>
      </c>
      <c r="N9" s="354" t="n">
        <f aca="false">IF(ISERROR(STDEVP(I23:I82)),"     -",STDEVP(I23:I82))</f>
        <v>5.48720101691199</v>
      </c>
      <c r="O9" s="354" t="n">
        <f aca="false">IF(ISERROR(STDEVP(J23:J82)),"      -",STDEVP(J23:J82))</f>
        <v>0.927024810886958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1</v>
      </c>
      <c r="L13" s="386"/>
      <c r="M13" s="397" t="s">
        <v>2648</v>
      </c>
      <c r="N13" s="398" t="n">
        <f aca="false">COUNTIF(F23:F82,"&gt;0")</f>
        <v>10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8</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1</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6.035</v>
      </c>
      <c r="C20" s="436" t="n">
        <f aca="false">SUM(C23:C82)</f>
        <v>1.615</v>
      </c>
      <c r="D20" s="437"/>
      <c r="E20" s="438" t="s">
        <v>2660</v>
      </c>
      <c r="F20" s="439" t="n">
        <f aca="false">($B20*$B$7+$C20*$C$7)/100</f>
        <v>5.5046</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5.3108</v>
      </c>
      <c r="C21" s="449" t="n">
        <f aca="false">C20*C7/100</f>
        <v>0.1938</v>
      </c>
      <c r="D21" s="381" t="str">
        <f aca="false">IF(F21=0,"",IF((ABS(F21-F19))&gt;(0.2*F21),CONCATENATE(" rec. par taxa (",F21," %) supérieur à 20 % !"),""))</f>
        <v> rec. par taxa (5,5046 %) supérieur à 20 % !</v>
      </c>
      <c r="E21" s="450" t="str">
        <f aca="false">IF(F21=0,"",IF((ABS(F21-F19))&gt;(0.2*F21),CONCATENATE("ATTENTION : écart entre rec. par grp (",F19," %) ","et",""),""))</f>
        <v>ATTENTION : écart entre rec. par grp (0 %) et</v>
      </c>
      <c r="F21" s="451" t="n">
        <f aca="false">B21+C21</f>
        <v>5.5046</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59</v>
      </c>
      <c r="B23" s="475" t="n">
        <v>0.01</v>
      </c>
      <c r="C23" s="476"/>
      <c r="D23" s="477" t="str">
        <f aca="false">IF(ISERROR(VLOOKUP($A23,'liste reference'!$A$7:$D$904,2,0)),IF(ISERROR(VLOOKUP($A23,'liste reference'!$B$7:$D$904,1,0)),"",VLOOKUP($A23,'liste reference'!$B$7:$D$904,1,0)),VLOOKUP($A23,'liste reference'!$A$7:$D$904,2,0))</f>
        <v>Audouinella sp.</v>
      </c>
      <c r="E23" s="477" t="e">
        <f aca="false">IF(D23="",0,VLOOKUP(D23,D$22:D22,1,0))</f>
        <v>#N/A</v>
      </c>
      <c r="F23" s="478" t="n">
        <f aca="false">($B23*$B$7+$C23*$C$7)/100</f>
        <v>0.0088</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0.0088</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132</v>
      </c>
      <c r="B24" s="494"/>
      <c r="C24" s="495" t="n">
        <v>0.1</v>
      </c>
      <c r="D24" s="477" t="str">
        <f aca="false">IF(ISERROR(VLOOKUP($A24,'liste reference'!$A$7:$D$904,2,0)),IF(ISERROR(VLOOKUP($A24,'liste reference'!$B$7:$D$904,1,0)),"",VLOOKUP($A24,'liste reference'!$B$7:$D$904,1,0)),VLOOKUP($A24,'liste reference'!$A$7:$D$904,2,0))</f>
        <v>Draparnaldia sp.</v>
      </c>
      <c r="E24" s="496" t="e">
        <f aca="false">IF(D24="",0,VLOOKUP(D24,D$22:D23,1,0))</f>
        <v>#N/A</v>
      </c>
      <c r="F24" s="497" t="n">
        <f aca="false">($B24*$B$7+$C24*$C$7)/100</f>
        <v>0.012</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18</v>
      </c>
      <c r="J24" s="481" t="n">
        <f aca="false">IF(ISNUMBER(H24),IF(ISERROR(VLOOKUP($A24,'liste reference'!$A$7:$P$904,4,0)),IF(ISERROR(VLOOKUP($A24,'liste reference'!$B$7:$P$904,3,0)),"",VLOOKUP($A24,'liste reference'!$B$7:$P$904,3,0)),VLOOKUP($A24,'liste reference'!$A$7:$P$904,4,0)),"")</f>
        <v>3</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Draparnaldia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1118</v>
      </c>
      <c r="Q24" s="486" t="n">
        <f aca="false">IF(ISTEXT(H24),"",(B24*$B$7/100)+(C24*$C$7/100))</f>
        <v>0.012</v>
      </c>
      <c r="R24" s="487" t="n">
        <f aca="false">IF(OR(ISTEXT(H24),Q24=0),"",IF(Q24&lt;0.1,1,IF(Q24&lt;1,2,IF(Q24&lt;10,3,IF(Q24&lt;50,4,IF(Q24&gt;=50,5,""))))))</f>
        <v>1</v>
      </c>
      <c r="S24" s="487" t="n">
        <f aca="false">IF(ISERROR(R24*I24),0,R24*I24)</f>
        <v>18</v>
      </c>
      <c r="T24" s="487" t="n">
        <f aca="false">IF(ISERROR(R24*I24*J24),0,R24*I24*J24)</f>
        <v>54</v>
      </c>
      <c r="U24" s="499" t="n">
        <f aca="false">IF(ISERROR(R24*J24),0,R24*J24)</f>
        <v>3</v>
      </c>
      <c r="V24" s="488" t="str">
        <f aca="false">IF(AND(A24="",F24=0),"",IF(F24=0,"Il manque le(s) % de rec. !",""))</f>
        <v/>
      </c>
      <c r="W24" s="489"/>
      <c r="Y24" s="490" t="str">
        <f aca="false">IF(A24="new.cod","NEWCOD",IF(AND((Z24=""),ISTEXT(A24)),A24,IF(Z24="","",INDEX('liste reference'!$A$8:$A$904,Z24))))</f>
        <v>DRASPX</v>
      </c>
      <c r="Z24" s="280" t="n">
        <f aca="false">IF(ISERROR(MATCH(A24,'liste reference'!$A$8:$A$904,0)),IF(ISERROR(MATCH(A24,'liste reference'!$B$8:$B$904,0)),"",(MATCH(A24,'liste reference'!$B$8:$B$904,0))),(MATCH(A24,'liste reference'!$A$8:$A$904,0)))</f>
        <v>27</v>
      </c>
      <c r="AA24" s="491"/>
      <c r="AB24" s="492"/>
      <c r="AC24" s="492"/>
      <c r="BB24" s="280" t="n">
        <f aca="false">IF(A24="","",1)</f>
        <v>1</v>
      </c>
    </row>
    <row r="25" customFormat="false" ht="12.75" hidden="false" customHeight="false" outlineLevel="0" collapsed="false">
      <c r="A25" s="493" t="s">
        <v>151</v>
      </c>
      <c r="B25" s="494" t="n">
        <v>0.26</v>
      </c>
      <c r="C25" s="495"/>
      <c r="D25" s="477" t="str">
        <f aca="false">IF(ISERROR(VLOOKUP($A25,'liste reference'!$A$7:$D$904,2,0)),IF(ISERROR(VLOOKUP($A25,'liste reference'!$B$7:$D$904,1,0)),"",VLOOKUP($A25,'liste reference'!$B$7:$D$904,1,0)),VLOOKUP($A25,'liste reference'!$A$7:$D$904,2,0))</f>
        <v>Hydrurus sp.</v>
      </c>
      <c r="E25" s="496" t="e">
        <f aca="false">IF(D25="",0,VLOOKUP(D25,D$22:D24,1,0))</f>
        <v>#N/A</v>
      </c>
      <c r="F25" s="497" t="n">
        <f aca="false">($B25*$B$7+$C25*$C$7)/100</f>
        <v>0.2288</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Hydrurus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6183</v>
      </c>
      <c r="Q25" s="486" t="n">
        <f aca="false">IF(ISTEXT(H25),"",(B25*$B$7/100)+(C25*$C$7/100))</f>
        <v>0.2288</v>
      </c>
      <c r="R25" s="487" t="n">
        <f aca="false">IF(OR(ISTEXT(H25),Q25=0),"",IF(Q25&lt;0.1,1,IF(Q25&lt;1,2,IF(Q25&lt;10,3,IF(Q25&lt;50,4,IF(Q25&gt;=50,5,""))))))</f>
        <v>2</v>
      </c>
      <c r="S25" s="487" t="n">
        <f aca="false">IF(ISERROR(R25*I25),0,R25*I25)</f>
        <v>32</v>
      </c>
      <c r="T25" s="487" t="n">
        <f aca="false">IF(ISERROR(R25*I25*J25),0,R25*I25*J25)</f>
        <v>64</v>
      </c>
      <c r="U25" s="499" t="n">
        <f aca="false">IF(ISERROR(R25*J25),0,R25*J25)</f>
        <v>4</v>
      </c>
      <c r="V25" s="488" t="str">
        <f aca="false">IF(AND(A25="",F25=0),"",IF(F25=0,"Il manque le(s) % de rec. !",""))</f>
        <v/>
      </c>
      <c r="W25" s="489"/>
      <c r="Y25" s="490" t="str">
        <f aca="false">IF(A25="new.cod","NEWCOD",IF(AND((Z25=""),ISTEXT(A25)),A25,IF(Z25="","",INDEX('liste reference'!$A$8:$A$904,Z25))))</f>
        <v>HYUSPX</v>
      </c>
      <c r="Z25" s="280" t="n">
        <f aca="false">IF(ISERROR(MATCH(A25,'liste reference'!$A$8:$A$904,0)),IF(ISERROR(MATCH(A25,'liste reference'!$B$8:$B$904,0)),"",(MATCH(A25,'liste reference'!$B$8:$B$904,0))),(MATCH(A25,'liste reference'!$A$8:$A$904,0)))</f>
        <v>33</v>
      </c>
      <c r="AA25" s="491"/>
      <c r="AB25" s="492"/>
      <c r="AC25" s="492"/>
      <c r="BB25" s="280" t="n">
        <f aca="false">IF(A25="","",1)</f>
        <v>1</v>
      </c>
    </row>
    <row r="26" customFormat="false" ht="12.75" hidden="false" customHeight="false" outlineLevel="0" collapsed="false">
      <c r="A26" s="493" t="s">
        <v>154</v>
      </c>
      <c r="B26" s="494" t="n">
        <v>5</v>
      </c>
      <c r="C26" s="495"/>
      <c r="D26" s="477" t="str">
        <f aca="false">IF(ISERROR(VLOOKUP($A26,'liste reference'!$A$7:$D$904,2,0)),IF(ISERROR(VLOOKUP($A26,'liste reference'!$B$7:$D$904,1,0)),"",VLOOKUP($A26,'liste reference'!$B$7:$D$904,1,0)),VLOOKUP($A26,'liste reference'!$A$7:$D$904,2,0))</f>
        <v>Lemanea sp.</v>
      </c>
      <c r="E26" s="496" t="e">
        <f aca="false">IF(D26="",0,VLOOKUP(D26,D$17:D24,1,0))</f>
        <v>#N/A</v>
      </c>
      <c r="F26" s="497" t="n">
        <f aca="false">($B26*$B$7+$C26*$C$7)/100</f>
        <v>4.4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4.4</v>
      </c>
      <c r="R26" s="487" t="n">
        <f aca="false">IF(OR(ISTEXT(H26),Q26=0),"",IF(Q26&lt;0.1,1,IF(Q26&lt;1,2,IF(Q26&lt;10,3,IF(Q26&lt;50,4,IF(Q26&gt;=50,5,""))))))</f>
        <v>3</v>
      </c>
      <c r="S26" s="487" t="n">
        <f aca="false">IF(ISERROR(R26*I26),0,R26*I26)</f>
        <v>45</v>
      </c>
      <c r="T26" s="487" t="n">
        <f aca="false">IF(ISERROR(R26*I26*J26),0,R26*I26*J26)</f>
        <v>90</v>
      </c>
      <c r="U26" s="499" t="n">
        <f aca="false">IF(ISERROR(R26*J26),0,R26*J26)</f>
        <v>6</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166</v>
      </c>
      <c r="B27" s="494" t="n">
        <v>0.05</v>
      </c>
      <c r="C27" s="495" t="n">
        <v>0.005</v>
      </c>
      <c r="D27" s="477" t="str">
        <f aca="false">IF(ISERROR(VLOOKUP($A27,'liste reference'!$A$7:$D$904,2,0)),IF(ISERROR(VLOOKUP($A27,'liste reference'!$B$7:$D$904,1,0)),"",VLOOKUP($A27,'liste reference'!$B$7:$D$904,1,0)),VLOOKUP($A27,'liste reference'!$A$7:$D$904,2,0))</f>
        <v>Microcoleus sp.</v>
      </c>
      <c r="E27" s="496" t="e">
        <f aca="false">IF(D27="",0,VLOOKUP(D27,D$22:D26,1,0))</f>
        <v>#N/A</v>
      </c>
      <c r="F27" s="497" t="n">
        <f aca="false">($B27*$B$7+$C27*$C$7)/100</f>
        <v>0.0446</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0</v>
      </c>
      <c r="J27" s="481" t="n">
        <f aca="false">IF(ISNUMBER(H27),IF(ISERROR(VLOOKUP($A27,'liste reference'!$A$7:$P$904,4,0)),IF(ISERROR(VLOOKUP($A27,'liste reference'!$B$7:$P$904,3,0)),"",VLOOKUP($A27,'liste reference'!$B$7:$P$904,3,0)),VLOOKUP($A27,'liste reference'!$A$7:$P$904,4,0)),"")</f>
        <v>0</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Microcoleus sp.</v>
      </c>
      <c r="L27" s="498"/>
      <c r="M27" s="498"/>
      <c r="N27" s="498"/>
      <c r="O27" s="484" t="s">
        <v>2685</v>
      </c>
      <c r="P27" s="485" t="n">
        <f aca="false">IF($A27="NEWCOD",IF($AC27="","No",$AC27),IF(ISTEXT($E27),"DEJA SAISI !",IF($A27="","",IF(ISERROR(VLOOKUP($A27,'liste reference'!A:S,19,FALSE())),IF(ISERROR(VLOOKUP($A27,'liste reference'!B:S,19,FALSE())),"",VLOOKUP($A27,'liste reference'!B:S,19,FALSE())),VLOOKUP($A27,'liste reference'!A:S,19,FALSE())))))</f>
        <v>6405</v>
      </c>
      <c r="Q27" s="486" t="n">
        <f aca="false">IF(ISTEXT(H27),"",(B27*$B$7/100)+(C27*$C$7/100))</f>
        <v>0.0446</v>
      </c>
      <c r="R27" s="487" t="n">
        <f aca="false">IF(OR(ISTEXT(H27),Q27=0),"",IF(Q27&lt;0.1,1,IF(Q27&lt;1,2,IF(Q27&lt;10,3,IF(Q27&lt;50,4,IF(Q27&gt;=50,5,""))))))</f>
        <v>1</v>
      </c>
      <c r="S27" s="487" t="n">
        <f aca="false">IF(ISERROR(R27*I27),0,R27*I27)</f>
        <v>0</v>
      </c>
      <c r="T27" s="487" t="n">
        <f aca="false">IF(ISERROR(R27*I27*J27),0,R27*I27*J27)</f>
        <v>0</v>
      </c>
      <c r="U27" s="499" t="n">
        <f aca="false">IF(ISERROR(R27*J27),0,R27*J27)</f>
        <v>0</v>
      </c>
      <c r="V27" s="488" t="str">
        <f aca="false">IF(AND(A27="",F27=0),"",IF(F27=0,"Il manque le(s) % de rec. !",""))</f>
        <v/>
      </c>
      <c r="W27" s="489"/>
      <c r="Y27" s="490" t="str">
        <f aca="false">IF(A27="new.cod","NEWCOD",IF(AND((Z27=""),ISTEXT(A27)),A27,IF(Z27="","",INDEX('liste reference'!$A$8:$A$904,Z27))))</f>
        <v>MIRSPX</v>
      </c>
      <c r="Z27" s="280" t="n">
        <f aca="false">IF(ISERROR(MATCH(A27,'liste reference'!$A$8:$A$904,0)),IF(ISERROR(MATCH(A27,'liste reference'!$B$8:$B$904,0)),"",(MATCH(A27,'liste reference'!$B$8:$B$904,0))),(MATCH(A27,'liste reference'!$A$8:$A$904,0)))</f>
        <v>38</v>
      </c>
      <c r="AA27" s="491" t="s">
        <v>2685</v>
      </c>
      <c r="AB27" s="492"/>
      <c r="AC27" s="492"/>
      <c r="BB27" s="280" t="n">
        <f aca="false">IF(A27="","",1)</f>
        <v>1</v>
      </c>
    </row>
    <row r="28" customFormat="false" ht="12.75" hidden="false" customHeight="false" outlineLevel="0" collapsed="false">
      <c r="A28" s="493" t="s">
        <v>228</v>
      </c>
      <c r="B28" s="494" t="n">
        <v>0.15</v>
      </c>
      <c r="C28" s="495"/>
      <c r="D28" s="477" t="str">
        <f aca="false">IF(ISERROR(VLOOKUP($A28,'liste reference'!$A$7:$D$904,2,0)),IF(ISERROR(VLOOKUP($A28,'liste reference'!$B$7:$D$904,1,0)),"",VLOOKUP($A28,'liste reference'!$B$7:$D$904,1,0)),VLOOKUP($A28,'liste reference'!$A$7:$D$904,2,0))</f>
        <v>Phormidium sp.</v>
      </c>
      <c r="E28" s="496" t="e">
        <f aca="false">IF(D28="",0,VLOOKUP(D28,D$22:D27,1,0))</f>
        <v>#N/A</v>
      </c>
      <c r="F28" s="497" t="n">
        <f aca="false">($B28*$B$7+$C28*$C$7)/100</f>
        <v>0.132</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13</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Phormidium sp.</v>
      </c>
      <c r="L28" s="498"/>
      <c r="M28" s="498"/>
      <c r="N28" s="498"/>
      <c r="O28" s="484" t="s">
        <v>2685</v>
      </c>
      <c r="P28" s="485" t="n">
        <f aca="false">IF($A28="NEWCOD",IF($AC28="","No",$AC28),IF(ISTEXT($E28),"DEJA SAISI !",IF($A28="","",IF(ISERROR(VLOOKUP($A28,'liste reference'!A:S,19,FALSE())),IF(ISERROR(VLOOKUP($A28,'liste reference'!B:S,19,FALSE())),"",VLOOKUP($A28,'liste reference'!B:S,19,FALSE())),VLOOKUP($A28,'liste reference'!A:S,19,FALSE())))))</f>
        <v>6414</v>
      </c>
      <c r="Q28" s="486" t="n">
        <f aca="false">IF(ISTEXT(H28),"",(B28*$B$7/100)+(C28*$C$7/100))</f>
        <v>0.132</v>
      </c>
      <c r="R28" s="487" t="n">
        <f aca="false">IF(OR(ISTEXT(H28),Q28=0),"",IF(Q28&lt;0.1,1,IF(Q28&lt;1,2,IF(Q28&lt;10,3,IF(Q28&lt;50,4,IF(Q28&gt;=50,5,""))))))</f>
        <v>2</v>
      </c>
      <c r="S28" s="487" t="n">
        <f aca="false">IF(ISERROR(R28*I28),0,R28*I28)</f>
        <v>26</v>
      </c>
      <c r="T28" s="487" t="n">
        <f aca="false">IF(ISERROR(R28*I28*J28),0,R28*I28*J28)</f>
        <v>52</v>
      </c>
      <c r="U28" s="499" t="n">
        <f aca="false">IF(ISERROR(R28*J28),0,R28*J28)</f>
        <v>4</v>
      </c>
      <c r="V28" s="488" t="str">
        <f aca="false">IF(AND(A28="",F28=0),"",IF(F28=0,"Il manque le(s) % de rec. !",""))</f>
        <v/>
      </c>
      <c r="W28" s="489"/>
      <c r="Y28" s="490" t="str">
        <f aca="false">IF(A28="new.cod","NEWCOD",IF(AND((Z28=""),ISTEXT(A28)),A28,IF(Z28="","",INDEX('liste reference'!$A$8:$A$904,Z28))))</f>
        <v>PHOSPX</v>
      </c>
      <c r="Z28" s="280" t="n">
        <f aca="false">IF(ISERROR(MATCH(A28,'liste reference'!$A$8:$A$904,0)),IF(ISERROR(MATCH(A28,'liste reference'!$B$8:$B$904,0)),"",(MATCH(A28,'liste reference'!$B$8:$B$904,0))),(MATCH(A28,'liste reference'!$A$8:$A$904,0)))</f>
        <v>57</v>
      </c>
      <c r="AA28" s="491" t="s">
        <v>2685</v>
      </c>
      <c r="AB28" s="492"/>
      <c r="AC28" s="492"/>
      <c r="BB28" s="280" t="n">
        <f aca="false">IF(A28="","",1)</f>
        <v>1</v>
      </c>
    </row>
    <row r="29" customFormat="false" ht="12.75" hidden="false" customHeight="false" outlineLevel="0" collapsed="false">
      <c r="A29" s="493" t="s">
        <v>258</v>
      </c>
      <c r="B29" s="494" t="n">
        <v>0.55</v>
      </c>
      <c r="C29" s="495" t="n">
        <v>1.51</v>
      </c>
      <c r="D29" s="477" t="str">
        <f aca="false">IF(ISERROR(VLOOKUP($A29,'liste reference'!$A$7:$D$904,2,0)),IF(ISERROR(VLOOKUP($A29,'liste reference'!$B$7:$D$904,1,0)),"",VLOOKUP($A29,'liste reference'!$B$7:$D$904,1,0)),VLOOKUP($A29,'liste reference'!$A$7:$D$904,2,0))</f>
        <v>Spirogyra sp.</v>
      </c>
      <c r="E29" s="496" t="e">
        <f aca="false">IF(D29="",0,VLOOKUP(D29,D$22:D28,1,0))</f>
        <v>#N/A</v>
      </c>
      <c r="F29" s="497" t="n">
        <f aca="false">($B29*$B$7+$C29*$C$7)/100</f>
        <v>0.6652</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Spirogyra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1147</v>
      </c>
      <c r="Q29" s="486" t="n">
        <f aca="false">IF(ISTEXT(H29),"",(B29*$B$7/100)+(C29*$C$7/100))</f>
        <v>0.6652</v>
      </c>
      <c r="R29" s="487" t="n">
        <f aca="false">IF(OR(ISTEXT(H29),Q29=0),"",IF(Q29&lt;0.1,1,IF(Q29&lt;1,2,IF(Q29&lt;10,3,IF(Q29&lt;50,4,IF(Q29&gt;=50,5,""))))))</f>
        <v>2</v>
      </c>
      <c r="S29" s="487" t="n">
        <f aca="false">IF(ISERROR(R29*I29),0,R29*I29)</f>
        <v>20</v>
      </c>
      <c r="T29" s="487" t="n">
        <f aca="false">IF(ISERROR(R29*I29*J29),0,R29*I29*J29)</f>
        <v>20</v>
      </c>
      <c r="U29" s="499" t="n">
        <f aca="false">IF(ISERROR(R29*J29),0,R29*J29)</f>
        <v>2</v>
      </c>
      <c r="V29" s="488" t="str">
        <f aca="false">IF(AND(A29="",F29=0),"",IF(F29=0,"Il manque le(s) % de rec. !",""))</f>
        <v/>
      </c>
      <c r="W29" s="489"/>
      <c r="Y29" s="490" t="str">
        <f aca="false">IF(A29="new.cod","NEWCOD",IF(AND((Z29=""),ISTEXT(A29)),A29,IF(Z29="","",INDEX('liste reference'!$A$8:$A$904,Z29))))</f>
        <v>SPISPX</v>
      </c>
      <c r="Z29" s="280" t="n">
        <f aca="false">IF(ISERROR(MATCH(A29,'liste reference'!$A$8:$A$904,0)),IF(ISERROR(MATCH(A29,'liste reference'!$B$8:$B$904,0)),"",(MATCH(A29,'liste reference'!$B$8:$B$904,0))),(MATCH(A29,'liste reference'!$A$8:$A$904,0)))</f>
        <v>69</v>
      </c>
      <c r="AA29" s="491"/>
      <c r="AB29" s="492"/>
      <c r="AC29" s="492"/>
      <c r="BB29" s="280" t="n">
        <f aca="false">IF(A29="","",1)</f>
        <v>1</v>
      </c>
    </row>
    <row r="30" customFormat="false" ht="12.75" hidden="false" customHeight="false" outlineLevel="0" collapsed="false">
      <c r="A30" s="493" t="s">
        <v>1019</v>
      </c>
      <c r="B30" s="494" t="n">
        <v>0.005</v>
      </c>
      <c r="C30" s="495"/>
      <c r="D30" s="477" t="str">
        <f aca="false">IF(ISERROR(VLOOKUP($A30,'liste reference'!$A$7:$D$904,2,0)),IF(ISERROR(VLOOKUP($A30,'liste reference'!$B$7:$D$904,1,0)),"",VLOOKUP($A30,'liste reference'!$B$7:$D$904,1,0)),VLOOKUP($A30,'liste reference'!$A$7:$D$904,2,0))</f>
        <v>Racomitrium aciculare</v>
      </c>
      <c r="E30" s="496" t="e">
        <f aca="false">IF(D30="",0,VLOOKUP(D30,D$22:D29,1,0))</f>
        <v>#N/A</v>
      </c>
      <c r="F30" s="497" t="n">
        <f aca="false">($B30*$B$7+$C30*$C$7)/100</f>
        <v>0.0044</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18</v>
      </c>
      <c r="J30" s="481" t="n">
        <f aca="false">IF(ISNUMBER(H30),IF(ISERROR(VLOOKUP($A30,'liste reference'!$A$7:$P$904,4,0)),IF(ISERROR(VLOOKUP($A30,'liste reference'!$B$7:$P$904,3,0)),"",VLOOKUP($A30,'liste reference'!$B$7:$P$904,3,0)),VLOOKUP($A30,'liste reference'!$A$7:$P$904,4,0)),"")</f>
        <v>3</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Racomitrium aciculare</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1323</v>
      </c>
      <c r="Q30" s="486" t="n">
        <f aca="false">IF(ISTEXT(H30),"",(B30*$B$7/100)+(C30*$C$7/100))</f>
        <v>0.0044</v>
      </c>
      <c r="R30" s="487" t="n">
        <f aca="false">IF(OR(ISTEXT(H30),Q30=0),"",IF(Q30&lt;0.1,1,IF(Q30&lt;1,2,IF(Q30&lt;10,3,IF(Q30&lt;50,4,IF(Q30&gt;=50,5,""))))))</f>
        <v>1</v>
      </c>
      <c r="S30" s="487" t="n">
        <f aca="false">IF(ISERROR(R30*I30),0,R30*I30)</f>
        <v>18</v>
      </c>
      <c r="T30" s="487" t="n">
        <f aca="false">IF(ISERROR(R30*I30*J30),0,R30*I30*J30)</f>
        <v>54</v>
      </c>
      <c r="U30" s="499" t="n">
        <f aca="false">IF(ISERROR(R30*J30),0,R30*J30)</f>
        <v>3</v>
      </c>
      <c r="V30" s="488" t="str">
        <f aca="false">IF(AND(A30="",F30=0),"",IF(F30=0,"Il manque le(s) % de rec. !",""))</f>
        <v/>
      </c>
      <c r="W30" s="489"/>
      <c r="Y30" s="490" t="str">
        <f aca="false">IF(A30="new.cod","NEWCOD",IF(AND((Z30=""),ISTEXT(A30)),A30,IF(Z30="","",INDEX('liste reference'!$A$8:$A$904,Z30))))</f>
        <v>RACACI</v>
      </c>
      <c r="Z30" s="280" t="n">
        <f aca="false">IF(ISERROR(MATCH(A30,'liste reference'!$A$8:$A$904,0)),IF(ISERROR(MATCH(A30,'liste reference'!$B$8:$B$904,0)),"",(MATCH(A30,'liste reference'!$B$8:$B$904,0))),(MATCH(A30,'liste reference'!$A$8:$A$904,0)))</f>
        <v>244</v>
      </c>
      <c r="AA30" s="491"/>
      <c r="AB30" s="492"/>
      <c r="AC30" s="492"/>
      <c r="BB30" s="280" t="n">
        <f aca="false">IF(A30="","",1)</f>
        <v>1</v>
      </c>
    </row>
    <row r="31" customFormat="false" ht="12.75" hidden="false" customHeight="false" outlineLevel="0" collapsed="false">
      <c r="A31" s="493" t="s">
        <v>2686</v>
      </c>
      <c r="B31" s="494" t="n">
        <v>0.005</v>
      </c>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0.0044</v>
      </c>
      <c r="G31" s="479" t="str">
        <f aca="false">IF(A31="","",IF(ISERROR(VLOOKUP($A31,'liste reference'!$A$7:$P$904,13,0)),IF(ISERROR(VLOOKUP($A31,'liste reference'!$B$7:$P$904,12,0)),"    -",VLOOKUP($A31,'liste reference'!$B$7:$P$904,12,0)),VLOOKUP($A31,'liste reference'!$A$7:$P$904,13,0)))</f>
        <v>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Klebsormidium sp.</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No</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NEWCOD</v>
      </c>
      <c r="Z31" s="280" t="str">
        <f aca="false">IF(ISERROR(MATCH(A31,'liste reference'!$A$8:$A$904,0)),IF(ISERROR(MATCH(A31,'liste reference'!$B$8:$B$904,0)),"",(MATCH(A31,'liste reference'!$B$8:$B$904,0))),(MATCH(A31,'liste reference'!$A$8:$A$904,0)))</f>
        <v/>
      </c>
      <c r="AA31" s="491"/>
      <c r="AB31" s="492" t="s">
        <v>2687</v>
      </c>
      <c r="AC31" s="492"/>
      <c r="BB31" s="280" t="n">
        <f aca="false">IF(A31="","",1)</f>
        <v>1</v>
      </c>
    </row>
    <row r="32" customFormat="false" ht="12.75" hidden="false" customHeight="false" outlineLevel="0" collapsed="false">
      <c r="A32" s="493" t="s">
        <v>2686</v>
      </c>
      <c r="B32" s="494" t="n">
        <v>0.005</v>
      </c>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0.0044</v>
      </c>
      <c r="G32" s="479" t="str">
        <f aca="false">IF(A32="","",IF(ISERROR(VLOOKUP($A32,'liste reference'!$A$7:$P$904,13,0)),IF(ISERROR(VLOOKUP($A32,'liste reference'!$B$7:$P$904,12,0)),"    -",VLOOKUP($A32,'liste reference'!$B$7:$P$904,12,0)),VLOOKUP($A32,'liste reference'!$A$7:$P$904,13,0)))</f>
        <v>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Carex frigida</v>
      </c>
      <c r="L32" s="498"/>
      <c r="M32" s="498"/>
      <c r="N32" s="498"/>
      <c r="O32" s="484" t="s">
        <v>2685</v>
      </c>
      <c r="P32" s="485" t="str">
        <f aca="false">IF($A32="NEWCOD",IF($AC32="","No",$AC32),IF(ISTEXT($E32),"DEJA SAISI !",IF($A32="","",IF(ISERROR(VLOOKUP($A32,'liste reference'!A:S,19,FALSE())),IF(ISERROR(VLOOKUP($A32,'liste reference'!B:S,19,FALSE())),"",VLOOKUP($A32,'liste reference'!B:S,19,FALSE())),VLOOKUP($A32,'liste reference'!A:S,19,FALSE())))))</f>
        <v>No</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NEWCOD</v>
      </c>
      <c r="Z32" s="280" t="str">
        <f aca="false">IF(ISERROR(MATCH(A32,'liste reference'!$A$8:$A$904,0)),IF(ISERROR(MATCH(A32,'liste reference'!$B$8:$B$904,0)),"",(MATCH(A32,'liste reference'!$B$8:$B$904,0))),(MATCH(A32,'liste reference'!$A$8:$A$904,0)))</f>
        <v/>
      </c>
      <c r="AA32" s="491" t="s">
        <v>2685</v>
      </c>
      <c r="AB32" s="492" t="s">
        <v>2688</v>
      </c>
      <c r="AC32" s="492"/>
      <c r="BB32" s="280" t="n">
        <f aca="false">IF(A32="","",1)</f>
        <v>1</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X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IF(D43="",0,VLOOKUP(D43,D$21:D42,1,0))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501"/>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2"/>
      <c r="M45" s="502"/>
      <c r="N45" s="502"/>
      <c r="O45" s="484"/>
      <c r="P45" s="503"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IF(D46="",0,VLOOKUP(D46,D$22:D45,1,0))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2"/>
      <c r="M46" s="502"/>
      <c r="N46" s="502"/>
      <c r="O46" s="484"/>
      <c r="P46" s="503"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IF(D47="",0,VLOOKUP(D47,D$22:D46,1,0))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IF(D48="",0,VLOOKUP(D48,D$22:D47,1,0))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X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IF(D52="",0,VLOOKUP(D52,D$19:D47,1,0))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504"/>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IF(D57="",0,VLOOKUP(D57,D$22:D56,1,0))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498"/>
      <c r="M59" s="498"/>
      <c r="N59" s="498"/>
      <c r="O59" s="484"/>
      <c r="P59" s="485"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498"/>
      <c r="M60" s="498"/>
      <c r="N60" s="498"/>
      <c r="O60" s="484"/>
      <c r="P60" s="485"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IF(D62="",0,VLOOKUP(D62,D$15:D61,1,0))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Gravone</v>
      </c>
      <c r="B84" s="529" t="str">
        <f aca="false">C3</f>
        <v>Bocognano</v>
      </c>
      <c r="C84" s="530" t="n">
        <f aca="false">A4</f>
        <v>41824</v>
      </c>
      <c r="D84" s="531" t="n">
        <f aca="false">IF(ISERROR(SUM($T$23:$T$82)/SUM($U$23:$U$82)),"",SUM($T$23:$T$82)/SUM($U$23:$U$82))</f>
        <v>15</v>
      </c>
      <c r="E84" s="532" t="n">
        <f aca="false">N13</f>
        <v>10</v>
      </c>
      <c r="F84" s="529" t="n">
        <f aca="false">N14</f>
        <v>8</v>
      </c>
      <c r="G84" s="529" t="n">
        <f aca="false">N15</f>
        <v>1</v>
      </c>
      <c r="H84" s="529" t="n">
        <f aca="false">N16</f>
        <v>4</v>
      </c>
      <c r="I84" s="529" t="n">
        <f aca="false">N17</f>
        <v>2</v>
      </c>
      <c r="J84" s="533" t="n">
        <f aca="false">N8</f>
        <v>12.875</v>
      </c>
      <c r="K84" s="531" t="n">
        <f aca="false">N9</f>
        <v>5.48720101691199</v>
      </c>
      <c r="L84" s="532" t="n">
        <f aca="false">N10</f>
        <v>0</v>
      </c>
      <c r="M84" s="532" t="n">
        <f aca="false">N11</f>
        <v>18</v>
      </c>
      <c r="N84" s="531" t="n">
        <f aca="false">O8</f>
        <v>1.875</v>
      </c>
      <c r="O84" s="531" t="n">
        <f aca="false">O9</f>
        <v>0.927024810886958</v>
      </c>
      <c r="P84" s="532" t="n">
        <f aca="false">O10</f>
        <v>0</v>
      </c>
      <c r="Q84" s="532" t="n">
        <f aca="false">O11</f>
        <v>3</v>
      </c>
      <c r="R84" s="532" t="n">
        <f aca="false">F21</f>
        <v>5.5046</v>
      </c>
      <c r="S84" s="532" t="n">
        <f aca="false">K11</f>
        <v>0</v>
      </c>
      <c r="T84" s="532" t="n">
        <f aca="false">K12</f>
        <v>7</v>
      </c>
      <c r="U84" s="532" t="n">
        <f aca="false">K13</f>
        <v>1</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45</v>
      </c>
      <c r="T87" s="280"/>
      <c r="U87" s="280"/>
      <c r="V87" s="280"/>
    </row>
    <row r="88" customFormat="false" ht="12.75" hidden="true" customHeight="false" outlineLevel="0" collapsed="false">
      <c r="P88" s="280"/>
      <c r="Q88" s="280" t="s">
        <v>2692</v>
      </c>
      <c r="R88" s="280"/>
      <c r="S88" s="488" t="n">
        <f aca="false">VLOOKUP((S87),($S$23:$U$82),2,0)</f>
        <v>90</v>
      </c>
      <c r="T88" s="280"/>
      <c r="U88" s="280"/>
      <c r="V88" s="280"/>
    </row>
    <row r="89" customFormat="false" ht="12.75" hidden="true" customHeight="false" outlineLevel="0" collapsed="false">
      <c r="Q89" s="280" t="s">
        <v>2693</v>
      </c>
      <c r="R89" s="280"/>
      <c r="S89" s="488" t="n">
        <f aca="false">VLOOKUP((S87),($S$23:$U$82),3,0)</f>
        <v>6</v>
      </c>
      <c r="T89" s="280"/>
    </row>
    <row r="90" customFormat="false" ht="12.75" hidden="false" customHeight="false" outlineLevel="0" collapsed="false">
      <c r="Q90" s="280" t="s">
        <v>2694</v>
      </c>
      <c r="R90" s="280"/>
      <c r="S90" s="538" t="n">
        <f aca="false">IF(ISERROR(SUM($T$23:$T$82)/SUM($U$23:$U$82)),"",(SUM($T$23:$T$82)-S88)/(SUM($U$23:$U$82)-S89))</f>
        <v>15</v>
      </c>
      <c r="T90" s="280"/>
    </row>
    <row r="91" customFormat="false" ht="12.75" hidden="false" customHeight="false" outlineLevel="0" collapsed="false">
      <c r="Q91" s="487" t="s">
        <v>2695</v>
      </c>
      <c r="R91" s="487"/>
      <c r="S91" s="487" t="str">
        <f aca="false">INDEX('liste reference'!$A$8:$A$904,$T$91)</f>
        <v>LEASPX</v>
      </c>
      <c r="T91" s="280" t="n">
        <f aca="false">IF(ISERROR(MATCH($S$93,'liste reference'!$A$8:$A$904,0)),MATCH($S$93,'liste reference'!$B$8:$B$904,0),(MATCH($S$93,'liste reference'!$A$8:$A$904,0)))</f>
        <v>34</v>
      </c>
      <c r="U91" s="527"/>
    </row>
    <row r="92" customFormat="false" ht="12.75" hidden="false" customHeight="false" outlineLevel="0" collapsed="false">
      <c r="Q92" s="280" t="s">
        <v>2696</v>
      </c>
      <c r="R92" s="280"/>
      <c r="S92" s="280" t="n">
        <f aca="false">MATCH(S87,$S$23:$S$82,0)</f>
        <v>4</v>
      </c>
      <c r="T92" s="280"/>
    </row>
    <row r="93" customFormat="false" ht="12.75" hidden="false" customHeight="false" outlineLevel="0" collapsed="false">
      <c r="Q93" s="487" t="s">
        <v>2697</v>
      </c>
      <c r="R93" s="280"/>
      <c r="S93" s="487" t="str">
        <f aca="false">INDEX($A$23:$A$82,$S$92)</f>
        <v>LEASPX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5"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4"/>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1"/>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2"/>
      <c r="M59" s="502"/>
      <c r="N59" s="502"/>
      <c r="O59" s="484"/>
      <c r="P59" s="503"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2"/>
      <c r="M60" s="502"/>
      <c r="N60" s="502"/>
      <c r="O60" s="484"/>
      <c r="P60" s="503"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2"/>
      <c r="M81" s="502"/>
      <c r="N81" s="502"/>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2690</v>
      </c>
      <c r="R86" s="280"/>
      <c r="S86" s="488"/>
      <c r="T86" s="280"/>
      <c r="U86" s="280"/>
      <c r="V86" s="280"/>
    </row>
    <row r="87" customFormat="false" ht="12.75" hidden="true" customHeight="false" outlineLevel="0" collapsed="false">
      <c r="P87" s="280"/>
      <c r="Q87" s="280" t="s">
        <v>2691</v>
      </c>
      <c r="R87" s="280"/>
      <c r="S87" s="488" t="n">
        <f aca="false">VLOOKUP(MAX($S$23:$S$82),($S$23:$U$82),1,0)</f>
        <v>0</v>
      </c>
      <c r="T87" s="280"/>
      <c r="U87" s="280"/>
      <c r="V87" s="280"/>
    </row>
    <row r="88" customFormat="false" ht="12.75" hidden="true" customHeight="false" outlineLevel="0" collapsed="false">
      <c r="P88" s="280"/>
      <c r="Q88" s="280" t="s">
        <v>2692</v>
      </c>
      <c r="R88" s="280"/>
      <c r="S88" s="488" t="n">
        <f aca="false">VLOOKUP((S87),($S$23:$U$82),2,0)</f>
        <v>0</v>
      </c>
      <c r="T88" s="280"/>
      <c r="U88" s="280"/>
      <c r="V88" s="280"/>
    </row>
    <row r="89" customFormat="false" ht="12.75" hidden="true" customHeight="false" outlineLevel="0" collapsed="false">
      <c r="Q89" s="280" t="s">
        <v>2693</v>
      </c>
      <c r="R89" s="280"/>
      <c r="S89" s="488" t="n">
        <f aca="false">VLOOKUP((S87),($S$23:$U$82),3,0)</f>
        <v>0</v>
      </c>
      <c r="T89" s="280"/>
    </row>
    <row r="90" customFormat="false" ht="12.75" hidden="false" customHeight="false" outlineLevel="0" collapsed="false">
      <c r="Q90" s="280" t="s">
        <v>2694</v>
      </c>
      <c r="R90" s="280"/>
      <c r="S90" s="538" t="str">
        <f aca="false">IF(ISERROR(SUM($T$23:$T$82)/SUM($U$23:$U$82)),"",(SUM($T$23:$T$82)-S88)/(SUM($U$23:$U$82)-S89))</f>
        <v/>
      </c>
      <c r="T90" s="280"/>
    </row>
    <row r="91" customFormat="false" ht="12.75"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2696</v>
      </c>
      <c r="R92" s="280"/>
      <c r="S92" s="280" t="n">
        <f aca="false">MATCH(S87,$S$23:$S$82,0)</f>
        <v>1</v>
      </c>
      <c r="T92" s="280"/>
    </row>
    <row r="93" customFormat="false" ht="12.75" hidden="false" customHeight="false" outlineLevel="0" collapsed="false">
      <c r="Q93" s="487" t="s">
        <v>2697</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2705</v>
      </c>
      <c r="B1" s="549"/>
      <c r="C1" s="549"/>
      <c r="D1" s="549"/>
    </row>
    <row r="2" customFormat="false" ht="15" hidden="false" customHeight="false" outlineLevel="0" collapsed="false">
      <c r="A2" s="550" t="s">
        <v>2706</v>
      </c>
      <c r="B2" s="551"/>
      <c r="C2" s="552"/>
      <c r="D2" s="552"/>
    </row>
    <row r="3" customFormat="false" ht="15.75" hidden="false" customHeight="false" outlineLevel="0" collapsed="false">
      <c r="A3" s="550" t="s">
        <v>2707</v>
      </c>
      <c r="B3" s="551"/>
      <c r="C3" s="552"/>
      <c r="D3" s="553" t="s">
        <v>2708</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2709</v>
      </c>
      <c r="G15" s="571"/>
      <c r="H15" s="572" t="s">
        <v>2710</v>
      </c>
      <c r="I15" s="571"/>
    </row>
    <row r="16" customFormat="false" ht="15" hidden="false" customHeight="false" outlineLevel="0" collapsed="false">
      <c r="A16" s="567" t="s">
        <v>1708</v>
      </c>
      <c r="B16" s="566" t="s">
        <v>1709</v>
      </c>
      <c r="C16" s="568"/>
      <c r="D16" s="569"/>
      <c r="F16" s="573" t="s">
        <v>2711</v>
      </c>
      <c r="G16" s="574"/>
      <c r="H16" s="573" t="s">
        <v>2711</v>
      </c>
      <c r="I16" s="575"/>
    </row>
    <row r="17" customFormat="false" ht="15" hidden="false" customHeight="false" outlineLevel="0" collapsed="false">
      <c r="A17" s="565" t="s">
        <v>2127</v>
      </c>
      <c r="B17" s="566" t="s">
        <v>2128</v>
      </c>
      <c r="C17" s="568"/>
      <c r="D17" s="569"/>
      <c r="F17" s="576" t="s">
        <v>2712</v>
      </c>
      <c r="G17" s="577"/>
      <c r="H17" s="576" t="s">
        <v>2712</v>
      </c>
      <c r="I17" s="578"/>
    </row>
    <row r="18" customFormat="false" ht="15" hidden="false" customHeight="false" outlineLevel="0" collapsed="false">
      <c r="A18" s="565" t="s">
        <v>1212</v>
      </c>
      <c r="B18" s="566" t="s">
        <v>1213</v>
      </c>
      <c r="C18" s="568"/>
      <c r="D18" s="569"/>
      <c r="F18" s="576" t="s">
        <v>2713</v>
      </c>
      <c r="G18" s="577"/>
      <c r="H18" s="576" t="s">
        <v>2713</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2714</v>
      </c>
      <c r="G20" s="577"/>
      <c r="H20" s="576" t="s">
        <v>2714</v>
      </c>
      <c r="I20" s="578"/>
    </row>
    <row r="21" customFormat="false" ht="15" hidden="false" customHeight="false" outlineLevel="0" collapsed="false">
      <c r="A21" s="567" t="s">
        <v>1720</v>
      </c>
      <c r="B21" s="566" t="s">
        <v>1721</v>
      </c>
      <c r="C21" s="568"/>
      <c r="D21" s="569"/>
      <c r="F21" s="576" t="s">
        <v>2715</v>
      </c>
      <c r="G21" s="577"/>
      <c r="H21" s="576" t="s">
        <v>2715</v>
      </c>
      <c r="I21" s="578"/>
    </row>
    <row r="22" customFormat="false" ht="15" hidden="false" customHeight="false" outlineLevel="0" collapsed="false">
      <c r="A22" s="565" t="s">
        <v>1726</v>
      </c>
      <c r="B22" s="566" t="s">
        <v>1727</v>
      </c>
      <c r="C22" s="568"/>
      <c r="D22" s="569"/>
      <c r="F22" s="576" t="s">
        <v>2716</v>
      </c>
      <c r="G22" s="577"/>
      <c r="H22" s="576" t="s">
        <v>2716</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2717</v>
      </c>
      <c r="G24" s="577"/>
      <c r="H24" s="576" t="s">
        <v>2717</v>
      </c>
      <c r="I24" s="578"/>
    </row>
    <row r="25" customFormat="false" ht="15" hidden="false" customHeight="false" outlineLevel="0" collapsed="false">
      <c r="A25" s="565" t="s">
        <v>2133</v>
      </c>
      <c r="B25" s="566" t="s">
        <v>2134</v>
      </c>
      <c r="C25" s="568"/>
      <c r="D25" s="569"/>
      <c r="F25" s="579" t="s">
        <v>2718</v>
      </c>
      <c r="G25" s="580"/>
      <c r="H25" s="579" t="s">
        <v>2718</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2719</v>
      </c>
    </row>
    <row r="35" customFormat="false" ht="15" hidden="false" customHeight="false" outlineLevel="0" collapsed="false">
      <c r="A35" s="565" t="s">
        <v>52</v>
      </c>
      <c r="B35" s="566" t="s">
        <v>53</v>
      </c>
      <c r="C35" s="568"/>
      <c r="D35" s="569"/>
      <c r="F35" s="583" t="s">
        <v>2720</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2721</v>
      </c>
      <c r="C37" s="568"/>
      <c r="D37" s="569"/>
      <c r="F37" s="585" t="s">
        <v>2722</v>
      </c>
    </row>
    <row r="38" customFormat="false" ht="15" hidden="false" customHeight="false" outlineLevel="0" collapsed="false">
      <c r="A38" s="565" t="s">
        <v>2145</v>
      </c>
      <c r="B38" s="566" t="s">
        <v>2146</v>
      </c>
      <c r="C38" s="568"/>
      <c r="D38" s="569"/>
      <c r="F38" s="585" t="s">
        <v>2723</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2724</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2725</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2726</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2727</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2728</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2729</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2730</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2015-03-20T12:58:38Z</dcterms:modified>
  <cp:revision>0</cp:revision>
  <dc:subject/>
  <dc:title>Feuille d'aide au calcul de l'IBMR</dc:title>
</cp:coreProperties>
</file>