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ravo a Forciolo"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'Taravo a Forciolo'!$A$1:$O$82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'Taravo a Forciolo'!$A$23:$J$84</definedName>
    <definedName function="false" hidden="false" localSheetId="5" name="NOM" vbProcedure="false">'Taravo a Forciolo'!$H$1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<sst xmlns="http://schemas.openxmlformats.org/spreadsheetml/2006/main" count="7375" uniqueCount="3128">
  <si>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</si>
  <si>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</si>
  <si>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</si>
  <si>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</si>
  <si>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</si>
  <si>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</si>
  <si>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</si>
  <si>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</si>
  <si>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</si>
  <si>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</si>
  <si>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</si>
  <si>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</si>
  <si>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</si>
  <si>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</si>
  <si>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</si>
  <si>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</si>
  <si>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</si>
  <si>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</si>
  <si>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</si>
  <si>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</si>
  <si>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</si>
  <si>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</si>
  <si>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</si>
  <si>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</si>
  <si>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</si>
  <si>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</si>
  <si>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</si>
  <si>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</si>
  <si>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</si>
  <si>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</si>
  <si>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</si>
  <si>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</si>
  <si>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</si>
  <si>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</si>
  <si>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</si>
  <si>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</si>
  <si>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</si>
  <si>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</si>
  <si>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</si>
  <si>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</si>
  <si>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</si>
  <si>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</si>
  <si>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</si>
  <si>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</si>
  <si>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</si>
  <si>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</si>
  <si>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</si>
  <si>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</si>
  <si>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</si>
  <si>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</si>
  <si>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</si>
  <si>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</si>
  <si>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</si>
  <si>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</si>
  <si>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</si>
  <si>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</si>
  <si>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</si>
  <si>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</si>
  <si>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</si>
  <si>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</si>
  <si>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</si>
  <si>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</si>
  <si>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</si>
  <si>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</si>
  <si>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</si>
  <si>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</si>
  <si>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</si>
  <si>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</si>
  <si>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</si>
  <si>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</si>
  <si>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</si>
  <si>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</si>
  <si>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</si>
  <si>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</si>
  <si>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</si>
  <si>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</si>
  <si>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</si>
  <si>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</si>
  <si>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</si>
  <si>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</si>
  <si>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</si>
  <si>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</si>
  <si>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</si>
  <si>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</si>
  <si>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</si>
  <si>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</si>
  <si>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</si>
  <si>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</si>
  <si>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</si>
  <si>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</si>
  <si>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</si>
  <si>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</si>
  <si>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</si>
  <si>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</si>
  <si>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</si>
  <si>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</si>
  <si>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</si>
  <si>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</si>
  <si>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</si>
  <si>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</si>
  <si>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</si>
  <si>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</si>
  <si>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</si>
  <si>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</si>
  <si>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</si>
  <si>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</si>
  <si>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</si>
  <si>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</si>
  <si>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</si>
  <si>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</si>
  <si>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</si>
  <si>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</si>
  <si>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</si>
  <si>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</si>
  <si>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</si>
  <si>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</si>
  <si>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</si>
  <si>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</si>
  <si>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</si>
  <si>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</si>
  <si>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</si>
  <si>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</si>
  <si>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</si>
  <si>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</si>
  <si>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</si>
  <si>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</si>
  <si>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</si>
  <si>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</si>
  <si>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</si>
  <si>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</si>
  <si>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</si>
  <si>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</si>
  <si>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</si>
  <si>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</si>
  <si>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</si>
  <si>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</si>
  <si>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</si>
  <si>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</si>
  <si>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</si>
  <si>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</si>
  <si>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</si>
  <si>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</si>
  <si>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</si>
  <si>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</si>
  <si>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</si>
  <si>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</si>
  <si>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</si>
  <si>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</si>
  <si>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</si>
  <si>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</si>
  <si>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</si>
  <si>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</si>
  <si>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</si>
  <si>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</si>
  <si>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</si>
  <si>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</si>
  <si>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</si>
  <si>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</si>
  <si>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</si>
  <si>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</si>
  <si>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</si>
  <si>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</si>
  <si>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</si>
  <si>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</si>
  <si>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</si>
  <si>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</si>
  <si>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</si>
  <si>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</si>
  <si>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</si>
  <si>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</si>
  <si>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</si>
  <si>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</si>
  <si>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</si>
  <si>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</si>
  <si>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</si>
  <si>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</si>
  <si>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</si>
  <si>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</si>
  <si>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</si>
  <si>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</si>
  <si>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</si>
  <si>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</si>
  <si>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</si>
  <si>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</si>
  <si>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</si>
  <si>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</si>
  <si>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</si>
  <si>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</si>
  <si>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</si>
  <si>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</si>
  <si>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</si>
  <si>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</si>
  <si>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</si>
  <si>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</si>
  <si>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</si>
  <si>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</si>
  <si>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</si>
  <si>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</si>
  <si>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</si>
  <si>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</si>
  <si>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</si>
  <si>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</si>
  <si>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</si>
  <si>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</si>
  <si>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</si>
  <si>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</si>
  <si>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</si>
  <si>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</si>
  <si>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</si>
  <si>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</si>
  <si>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</si>
  <si>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</si>
  <si>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</si>
  <si>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</si>
  <si>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</si>
  <si>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</si>
  <si>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</si>
  <si>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</si>
  <si>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</si>
  <si>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</si>
  <si>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</si>
  <si>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</si>
  <si>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</si>
  <si>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</si>
  <si>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</si>
  <si>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</si>
  <si>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</si>
  <si>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</si>
  <si>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</si>
  <si>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</si>
  <si>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</si>
  <si>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</si>
  <si>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</si>
  <si>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</si>
  <si>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</si>
  <si>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</si>
  <si>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</si>
  <si>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</si>
  <si>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</si>
  <si>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</si>
  <si>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</si>
  <si>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</si>
  <si>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</si>
  <si>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</si>
  <si>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</si>
  <si>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</si>
  <si>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</si>
  <si>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</si>
  <si>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</si>
  <si>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</si>
  <si>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</si>
  <si>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</si>
  <si>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</si>
  <si>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</si>
  <si>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</si>
  <si>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</si>
  <si>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</si>
  <si>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</si>
  <si>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</si>
  <si>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</si>
  <si>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</si>
  <si>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</si>
  <si>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</si>
  <si>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</si>
  <si>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</si>
  <si>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</si>
  <si>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</si>
  <si>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</si>
  <si>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</si>
  <si>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</si>
  <si>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</si>
  <si>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</si>
  <si>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</si>
  <si>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</si>
  <si>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</si>
  <si>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</si>
  <si>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</si>
  <si>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</si>
  <si>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</si>
  <si>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</si>
  <si>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</si>
  <si>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</si>
  <si>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</si>
  <si>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</si>
  <si>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</si>
  <si>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</si>
  <si>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</si>
  <si>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</si>
  <si>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</si>
  <si>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</si>
  <si>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</si>
  <si>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</si>
  <si>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</si>
  <si>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</si>
  <si>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</si>
  <si>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</si>
  <si>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</si>
  <si>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</si>
  <si>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</si>
  <si>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</si>
  <si>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</si>
  <si>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</si>
  <si>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</si>
  <si>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</si>
  <si>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</si>
  <si>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</si>
  <si>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</si>
  <si>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</si>
  <si>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</si>
  <si>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</si>
  <si>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</si>
  <si>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</si>
  <si>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</si>
  <si>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</si>
  <si>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</si>
  <si>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</si>
  <si>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</si>
  <si>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</si>
  <si>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</si>
  <si>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</si>
  <si>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</si>
  <si>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</si>
  <si>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</si>
  <si>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</si>
  <si>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</si>
  <si>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</si>
  <si>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</si>
  <si>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</si>
  <si>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</si>
  <si>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</si>
  <si>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</si>
  <si>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</si>
  <si>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</si>
  <si>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</si>
  <si>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</si>
  <si>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</si>
  <si>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</si>
  <si>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</si>
  <si>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</si>
  <si>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</si>
  <si>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</si>
  <si>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</si>
  <si>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</si>
  <si>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</si>
  <si>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</si>
  <si>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</si>
  <si>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</si>
  <si>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</si>
  <si>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</si>
  <si>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</si>
  <si>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</si>
  <si>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</si>
  <si>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</si>
  <si>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</si>
  <si>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</si>
  <si>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</si>
  <si>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</si>
  <si>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</si>
  <si>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</si>
  <si>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</si>
  <si>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</si>
  <si>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</si>
  <si>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</si>
  <si>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</si>
  <si>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</si>
  <si>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</si>
  <si>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</si>
  <si>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</si>
  <si>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</si>
  <si>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</si>
  <si>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</si>
  <si>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</si>
  <si>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</si>
  <si>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</si>
  <si>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</si>
  <si>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</si>
  <si>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</si>
  <si>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</si>
  <si>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</si>
  <si>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</si>
  <si>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</si>
  <si>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</si>
  <si>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</si>
  <si>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</si>
  <si>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</si>
  <si>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</si>
  <si>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</si>
  <si>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</si>
  <si>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</si>
  <si>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</si>
  <si>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</si>
  <si>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</si>
  <si>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</si>
  <si>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</si>
  <si>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</si>
  <si>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</si>
  <si>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</si>
  <si>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</si>
  <si>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</si>
  <si>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</si>
  <si>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</si>
  <si>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</si>
  <si>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</si>
  <si>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</si>
  <si>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</si>
  <si>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</si>
  <si>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</si>
  <si>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</si>
  <si>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</si>
  <si>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</si>
  <si>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</si>
  <si>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</si>
  <si>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</si>
  <si>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</si>
  <si>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</si>
  <si>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</si>
  <si>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</si>
  <si>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</si>
  <si>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</si>
  <si>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</si>
  <si>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</si>
  <si>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</si>
  <si>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</si>
  <si>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</si>
  <si>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</si>
  <si>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</si>
  <si>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</si>
  <si>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</si>
  <si>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</si>
  <si>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</si>
  <si>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</si>
  <si>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</si>
  <si>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</si>
  <si>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</si>
  <si>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</si>
  <si>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</si>
  <si>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</si>
  <si>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</si>
  <si>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</si>
  <si>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</si>
  <si>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</si>
  <si>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</si>
  <si>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</si>
  <si>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</si>
  <si>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</si>
  <si>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</si>
  <si>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</si>
  <si>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</si>
  <si>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</si>
  <si>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</si>
  <si>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</si>
  <si>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</si>
  <si>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</si>
  <si>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</si>
  <si>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</si>
  <si>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</si>
  <si>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</si>
  <si>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</si>
  <si>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</si>
  <si>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</si>
  <si>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</si>
  <si>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</si>
  <si>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</si>
  <si>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</si>
  <si>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</si>
  <si>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</si>
  <si>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</si>
  <si>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</si>
  <si>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</si>
  <si>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</si>
  <si>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</si>
  <si>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</si>
  <si>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</si>
  <si>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</si>
  <si>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</si>
  <si>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</si>
  <si>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</si>
  <si>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</si>
  <si>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</si>
  <si>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</si>
  <si>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</si>
  <si>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</si>
  <si>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</si>
  <si>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</si>
  <si>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</si>
  <si>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</si>
  <si>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</si>
  <si>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</si>
  <si>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</si>
  <si>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</si>
  <si>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</si>
  <si>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</si>
  <si>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</si>
  <si>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</si>
  <si>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</si>
  <si>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</si>
  <si>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</si>
  <si>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</si>
  <si>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</si>
  <si>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</si>
  <si>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</si>
  <si>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</si>
  <si>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</si>
  <si>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</si>
  <si>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</si>
  <si>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</si>
  <si>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</si>
  <si>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</si>
  <si>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</si>
  <si>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</si>
  <si>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</si>
  <si>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</si>
  <si>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</si>
  <si>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</si>
  <si>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</si>
  <si>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</si>
  <si>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</si>
  <si>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</si>
  <si>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</si>
  <si>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</si>
  <si>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</si>
  <si>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</si>
  <si>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</si>
  <si>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</si>
  <si>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</si>
  <si>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</si>
  <si>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</si>
  <si>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</si>
  <si>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</si>
  <si>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</si>
  <si>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</si>
  <si>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</si>
  <si>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</si>
  <si>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</si>
  <si>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</si>
  <si>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</si>
  <si>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</si>
  <si>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</si>
  <si>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</si>
  <si>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</si>
  <si>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</si>
  <si>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</si>
  <si>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</si>
  <si>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</si>
  <si>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</si>
  <si>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</si>
  <si>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</si>
  <si>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</si>
  <si>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</si>
  <si>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</si>
  <si>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</si>
  <si>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</si>
  <si>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</si>
  <si>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</si>
  <si>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</si>
  <si>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</si>
  <si>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</si>
  <si>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</si>
  <si>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</si>
  <si>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</si>
  <si>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</si>
  <si>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</si>
  <si>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</si>
  <si>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</si>
  <si>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</si>
  <si>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</si>
  <si>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</si>
  <si>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</si>
  <si>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</si>
  <si>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</si>
  <si>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</si>
  <si>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</si>
  <si>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</si>
  <si>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</si>
  <si>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</si>
  <si>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</si>
  <si>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</si>
  <si>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</si>
  <si>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</si>
  <si>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</si>
  <si>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</si>
  <si>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</si>
  <si>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</si>
  <si>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</si>
  <si>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</si>
  <si>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</si>
  <si>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</si>
  <si>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</si>
  <si>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</si>
  <si>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</si>
  <si>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</si>
  <si>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</si>
  <si>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</si>
  <si>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</si>
  <si>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</si>
  <si>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</si>
  <si>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</si>
  <si>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</si>
  <si>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</si>
  <si>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</si>
  <si>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</si>
  <si>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</si>
  <si>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</si>
  <si>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</si>
  <si>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</si>
  <si>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</si>
  <si>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</si>
  <si>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</si>
  <si>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</si>
  <si>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</si>
  <si>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</si>
  <si>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</si>
  <si>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</si>
  <si>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</si>
  <si>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</si>
  <si>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</si>
  <si>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</si>
  <si>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</si>
  <si>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</si>
  <si>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</si>
  <si>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</si>
  <si>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</si>
  <si>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</si>
  <si>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</si>
  <si>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</si>
  <si>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</si>
  <si>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</si>
  <si>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</si>
  <si>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</si>
  <si>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</si>
  <si>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</si>
  <si>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</si>
  <si>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</si>
  <si>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</si>
  <si>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</si>
  <si>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</si>
  <si>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</si>
  <si>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</si>
  <si>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</si>
  <si>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</si>
  <si>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</si>
  <si>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</si>
  <si>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</si>
  <si>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</si>
  <si>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</si>
  <si>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</si>
  <si>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</si>
  <si>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</si>
  <si>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</si>
  <si>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</si>
  <si>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</si>
  <si>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</si>
  <si>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</si>
  <si>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</si>
  <si>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</si>
  <si>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</si>
  <si>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</si>
  <si>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</si>
  <si>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</si>
  <si>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</si>
  <si>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</si>
  <si>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</si>
  <si>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</si>
  <si>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</si>
  <si>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</si>
  <si>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</si>
  <si>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</si>
  <si>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</si>
  <si>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</si>
  <si>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</si>
  <si>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</si>
  <si>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</si>
  <si>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</si>
  <si>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</si>
  <si>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</si>
  <si>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</si>
  <si>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</si>
  <si>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</si>
  <si>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</si>
  <si>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</si>
  <si>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</si>
  <si>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</si>
  <si>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</si>
  <si>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</si>
  <si>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</si>
  <si>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</si>
  <si>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</si>
  <si>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</si>
  <si>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</si>
  <si>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</si>
  <si>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</si>
  <si>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</si>
  <si>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</si>
  <si>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</si>
  <si>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</si>
  <si>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</si>
  <si>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</si>
  <si>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</si>
  <si>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</si>
  <si>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</si>
  <si>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</si>
  <si>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</si>
  <si>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</si>
  <si>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</si>
  <si>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</si>
  <si>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</si>
  <si>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</si>
  <si>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</si>
  <si>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</si>
  <si>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</si>
  <si>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</si>
  <si>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</si>
  <si>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</si>
  <si>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</si>
  <si>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</si>
  <si>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</si>
  <si>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</si>
  <si>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</si>
  <si>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</si>
  <si>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</si>
  <si>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</si>
  <si>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</si>
  <si>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</si>
  <si>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</si>
  <si>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</si>
  <si>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</si>
  <si>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</si>
  <si>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</si>
  <si>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</si>
  <si>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</si>
  <si>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</si>
  <si>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</si>
  <si>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</si>
  <si>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</si>
  <si>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</si>
  <si>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</si>
  <si>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</si>
  <si>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</si>
  <si>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</si>
  <si>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</si>
  <si>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</si>
  <si>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</si>
  <si>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</si>
  <si>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</si>
  <si>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</si>
  <si>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</si>
  <si>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</si>
  <si>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</si>
  <si>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</si>
  <si>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</si>
  <si>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</si>
  <si>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</si>
  <si>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</si>
  <si>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</si>
  <si>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</si>
  <si>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</si>
  <si>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</si>
  <si>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</si>
  <si>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</si>
  <si>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</si>
  <si>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</si>
  <si>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</si>
  <si>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</si>
  <si>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</si>
  <si>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</si>
  <si>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</si>
  <si>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</si>
  <si>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</si>
  <si>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</si>
  <si>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</si>
  <si>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</si>
  <si>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</si>
  <si>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</si>
  <si>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</si>
  <si>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</si>
  <si>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</si>
  <si>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</si>
  <si>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</si>
  <si>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</si>
  <si>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</si>
  <si>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</si>
  <si>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</si>
  <si>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</si>
  <si>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</si>
  <si>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</si>
  <si>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</si>
  <si>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</si>
  <si>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</si>
  <si>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</si>
  <si>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</si>
  <si>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</si>
  <si>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</si>
  <si>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</si>
  <si>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</si>
  <si>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</si>
  <si>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</si>
  <si>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</si>
  <si>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</si>
  <si>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</si>
  <si>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</si>
  <si>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</si>
  <si>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</si>
  <si>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</si>
  <si>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</si>
  <si>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</si>
  <si>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</si>
  <si>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</si>
  <si>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</si>
  <si>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</si>
  <si>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</si>
  <si>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</si>
  <si>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</si>
  <si>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</si>
  <si>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</si>
  <si>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</si>
  <si>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</si>
  <si>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</si>
  <si>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</si>
  <si>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</si>
  <si>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</si>
  <si>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</si>
  <si>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</si>
  <si>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</si>
  <si>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</si>
  <si>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</si>
  <si>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</si>
  <si>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</si>
  <si>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</si>
  <si>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</si>
  <si>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</si>
  <si>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</si>
  <si>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</si>
  <si>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</si>
  <si>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</si>
  <si>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</si>
  <si>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</si>
  <si>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</si>
  <si>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</si>
  <si>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</si>
  <si>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</si>
  <si>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</si>
  <si>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</si>
  <si>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</si>
  <si>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</si>
  <si>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</si>
  <si>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</si>
  <si>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</si>
  <si>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</si>
  <si>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</si>
  <si>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</si>
  <si>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</si>
  <si>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</si>
  <si>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</si>
  <si>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</si>
  <si>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</si>
  <si>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</si>
  <si>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</si>
  <si>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</si>
  <si>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</si>
  <si>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</si>
  <si>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</si>
  <si>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</si>
  <si>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</si>
  <si>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</si>
  <si>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</si>
  <si>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</si>
  <si>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</si>
  <si>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</si>
  <si>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</si>
  <si>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</si>
  <si>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</si>
  <si>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</si>
  <si>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</si>
  <si>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</si>
  <si>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</si>
  <si>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</si>
  <si>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</si>
  <si>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</si>
  <si>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</si>
  <si>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</si>
  <si>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</si>
  <si>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</si>
  <si>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</si>
  <si>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</si>
  <si>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</si>
  <si>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</si>
  <si>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</si>
  <si>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</si>
  <si>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</si>
  <si>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</si>
  <si>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</si>
  <si>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</si>
  <si>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</si>
  <si>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</si>
  <si>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</si>
  <si>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</si>
  <si>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</si>
  <si>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</si>
  <si>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</si>
  <si>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</si>
  <si>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</si>
  <si>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</si>
  <si>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</si>
  <si>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</si>
  <si>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</si>
  <si>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</si>
  <si>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</si>
  <si>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</si>
  <si>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</si>
  <si>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</si>
  <si>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</si>
  <si>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</si>
  <si>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</si>
  <si>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</si>
  <si>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</si>
  <si>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</si>
  <si>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</si>
  <si>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</si>
  <si>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</si>
  <si>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</si>
  <si>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</si>
  <si>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</si>
  <si>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</si>
  <si>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</si>
  <si>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</si>
  <si>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</si>
  <si>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</si>
  <si>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</si>
  <si>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</si>
  <si>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</si>
  <si>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</si>
  <si>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</si>
  <si>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</si>
  <si>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</si>
  <si>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</si>
  <si>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</si>
  <si>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</si>
  <si>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</si>
  <si>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</si>
  <si>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</si>
  <si>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</si>
  <si>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</si>
  <si>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</si>
  <si>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</si>
  <si>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</si>
  <si>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</si>
  <si>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</si>
  <si>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</si>
  <si>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</si>
  <si>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</si>
  <si>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</si>
  <si>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</si>
  <si>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</si>
  <si>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</si>
  <si>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</si>
  <si>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</si>
  <si>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</si>
  <si>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</si>
  <si>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</si>
  <si>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</si>
  <si>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</si>
  <si>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</si>
  <si>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</si>
  <si>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</si>
  <si>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</si>
  <si>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</si>
  <si>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</si>
  <si>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</si>
  <si>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</si>
  <si>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</si>
  <si>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</si>
  <si>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</si>
  <si>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</si>
  <si>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</si>
  <si>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</si>
  <si>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</si>
  <si>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</si>
  <si>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</si>
  <si>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</si>
  <si>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</si>
  <si>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</si>
  <si>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</si>
  <si>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</si>
  <si>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</si>
  <si>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</si>
  <si>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</si>
  <si>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</si>
  <si>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</si>
  <si>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</si>
  <si>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</si>
  <si>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</si>
  <si>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</si>
  <si>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</si>
  <si>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</si>
  <si>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</si>
  <si>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</si>
  <si>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</si>
  <si>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</si>
  <si>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</si>
  <si>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</si>
  <si>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</si>
  <si>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</si>
  <si>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</si>
  <si>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</si>
  <si>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</si>
  <si>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</si>
  <si>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</si>
  <si>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</si>
  <si>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</si>
  <si>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</si>
  <si>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</si>
  <si>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</si>
  <si>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</si>
  <si>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</si>
  <si>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</si>
  <si>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</si>
  <si>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</si>
  <si>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</si>
  <si>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</si>
  <si>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</si>
  <si>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</si>
  <si>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</si>
  <si>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</si>
  <si>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</si>
  <si>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</si>
  <si>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</si>
  <si>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</si>
  <si>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</si>
  <si>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</si>
  <si>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</si>
  <si>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</si>
  <si>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</si>
  <si>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</si>
  <si>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</si>
  <si>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</si>
  <si>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</si>
  <si>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</si>
  <si>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</si>
  <si>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</si>
  <si>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</si>
  <si>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</si>
  <si>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</si>
  <si>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</si>
  <si>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</si>
  <si>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</si>
  <si>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</si>
  <si>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</si>
  <si>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</si>
  <si>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</si>
  <si>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</si>
  <si>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</si>
  <si>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</si>
  <si>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</si>
  <si>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</si>
  <si>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</si>
  <si>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</si>
  <si>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</si>
  <si>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</si>
  <si>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</si>
  <si>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</si>
  <si>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</si>
  <si>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</si>
  <si>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</si>
  <si>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</si>
  <si>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</si>
  <si>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</si>
  <si>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</si>
  <si>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</si>
  <si>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</si>
  <si>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</si>
  <si>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</si>
  <si>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</si>
  <si>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</si>
  <si>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</si>
  <si>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</si>
  <si>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</si>
  <si>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</si>
  <si>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</si>
  <si>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</si>
  <si>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</si>
  <si>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</si>
  <si>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</si>
  <si>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</si>
  <si>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</si>
  <si>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</si>
  <si>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</si>
  <si>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</si>
  <si>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</si>
  <si>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</si>
  <si>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</si>
  <si>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</si>
  <si>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</si>
  <si>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</si>
  <si>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</si>
  <si>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</si>
  <si>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</si>
  <si>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</si>
  <si>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</si>
  <si>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</si>
  <si>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</si>
  <si>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</si>
  <si>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</si>
  <si>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</si>
  <si>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</si>
  <si>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</si>
  <si>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</si>
  <si>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</si>
  <si>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</si>
  <si>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</si>
  <si>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</si>
  <si>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</si>
  <si>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</si>
  <si>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</si>
  <si>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</si>
  <si>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</si>
  <si>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</si>
  <si>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</si>
  <si>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</si>
  <si>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</si>
  <si>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</si>
  <si>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</si>
  <si>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</si>
  <si>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</si>
  <si>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</si>
  <si>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</si>
  <si>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</si>
  <si>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</si>
  <si>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</si>
  <si>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</si>
  <si>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</si>
  <si>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</si>
  <si>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</si>
  <si>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</si>
  <si>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</si>
  <si>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</si>
  <si>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</si>
  <si>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</si>
  <si>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</si>
  <si>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</si>
  <si>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</si>
  <si>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</si>
  <si>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</si>
  <si>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</si>
  <si>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</si>
  <si>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</si>
  <si>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</si>
  <si>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</si>
  <si>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</si>
  <si>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</si>
  <si>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</si>
  <si>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</si>
  <si>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</si>
  <si>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</si>
  <si>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</si>
  <si>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</si>
  <si>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</si>
  <si>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</si>
  <si>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</si>
  <si>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</si>
  <si>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</si>
  <si>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</si>
  <si>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</si>
  <si>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</si>
  <si>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</si>
  <si>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</si>
  <si>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</si>
  <si>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</si>
  <si>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</si>
  <si>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</si>
  <si>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</si>
  <si>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</si>
  <si>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</si>
  <si>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</si>
  <si>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</si>
  <si>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</si>
  <si>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</si>
  <si>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</si>
  <si>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</si>
  <si>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</si>
  <si>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</si>
  <si>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</si>
  <si>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</si>
  <si>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</si>
  <si>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</si>
  <si>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</si>
  <si>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</si>
  <si>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</si>
  <si>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</si>
  <si>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</si>
  <si>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</si>
  <si>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</si>
  <si>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</si>
  <si>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</si>
  <si>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</si>
  <si>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</si>
  <si>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</si>
  <si>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</si>
  <si>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</si>
  <si>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</si>
  <si>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</si>
  <si>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</si>
  <si>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</si>
  <si>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</si>
  <si>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</si>
  <si>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</si>
  <si>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</si>
  <si>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</si>
  <si>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</si>
  <si>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</si>
  <si>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</si>
  <si>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</si>
  <si>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</si>
  <si>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</si>
  <si>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</si>
  <si>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</si>
  <si>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</si>
  <si>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</si>
  <si>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</si>
  <si>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</si>
  <si>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</si>
  <si>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</si>
  <si>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</si>
  <si>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</si>
  <si>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</si>
  <si>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</si>
  <si>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</si>
  <si>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</si>
  <si>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</si>
  <si>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</si>
  <si>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</si>
  <si>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</si>
  <si>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</si>
  <si>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</si>
  <si>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</si>
  <si>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</si>
  <si>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</si>
  <si>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</si>
  <si>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</si>
  <si>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</si>
  <si>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</si>
  <si>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</si>
  <si>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</si>
  <si>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</si>
  <si>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</si>
  <si>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</si>
  <si>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</si>
  <si>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</si>
  <si>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</si>
  <si>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</si>
  <si>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</si>
  <si>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</si>
  <si>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</si>
  <si>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</si>
  <si>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</si>
  <si>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</si>
  <si>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</si>
  <si>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</si>
  <si>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</si>
  <si>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</si>
  <si>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</si>
  <si>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</si>
  <si>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</si>
  <si>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</si>
  <si>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</si>
  <si>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</si>
  <si>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</si>
  <si>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</si>
  <si>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</si>
  <si>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</si>
  <si>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</si>
  <si>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</si>
  <si>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</si>
  <si>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</si>
  <si>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</si>
  <si>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</si>
  <si>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</si>
  <si>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</si>
  <si>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</si>
  <si>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</si>
  <si>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</si>
  <si>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</si>
  <si>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</si>
  <si>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</si>
  <si>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</si>
  <si>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</si>
  <si>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</si>
  <si>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</si>
  <si>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</si>
  <si>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</si>
  <si>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</si>
  <si>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</si>
  <si>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</si>
  <si>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</si>
  <si>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</si>
  <si>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</si>
  <si>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</si>
  <si>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</si>
  <si>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</si>
  <si>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</si>
  <si>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</si>
  <si>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</si>
  <si>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</si>
  <si>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</si>
  <si>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</si>
  <si>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</si>
  <si>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</si>
  <si>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</si>
  <si>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</si>
  <si>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</si>
  <si>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</si>
  <si>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</si>
  <si>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</si>
  <si>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</si>
  <si>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</si>
  <si>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</si>
  <si>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</si>
  <si>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</si>
  <si>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</si>
  <si>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</si>
  <si>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</si>
  <si>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</si>
  <si>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</si>
  <si>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</si>
  <si>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</si>
  <si>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</si>
  <si>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</si>
  <si>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</si>
  <si>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</si>
  <si>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</si>
  <si>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</si>
  <si>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</si>
  <si>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</si>
  <si>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</si>
  <si>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</si>
  <si>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</si>
  <si>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</si>
  <si>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</si>
  <si>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</si>
  <si>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</si>
  <si>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</si>
  <si>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</si>
  <si>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</si>
  <si>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</si>
  <si>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</si>
  <si>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</si>
  <si>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</si>
  <si>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</si>
  <si>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</si>
  <si>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</si>
  <si>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</si>
  <si>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</si>
  <si>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</si>
  <si>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</si>
  <si>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</si>
  <si>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</si>
  <si>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</si>
  <si>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</si>
  <si>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</si>
  <si>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</si>
  <si>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</si>
  <si>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</si>
  <si>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</si>
  <si>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</si>
  <si>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</si>
  <si>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</si>
  <si>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</si>
  <si>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</si>
  <si>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</si>
  <si>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</si>
  <si>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</si>
  <si>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</si>
  <si>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</si>
  <si>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</si>
  <si>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</si>
  <si>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</si>
  <si>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</si>
  <si>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</si>
  <si>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</si>
  <si>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</si>
  <si>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</si>
  <si>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</si>
  <si>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</si>
  <si>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</si>
  <si>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</si>
  <si>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</si>
  <si>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</si>
  <si>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</si>
  <si>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</si>
  <si>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</si>
  <si>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</si>
  <si>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</si>
  <si>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</si>
  <si>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</si>
  <si>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</si>
  <si>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</si>
  <si>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</si>
  <si>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</si>
  <si>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</si>
  <si>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</si>
  <si>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</si>
  <si>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</si>
  <si>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</si>
  <si>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</si>
  <si>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</si>
  <si>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</si>
  <si>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</si>
  <si>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</si>
  <si>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</si>
  <si>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</si>
  <si>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</si>
  <si>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</si>
  <si>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</si>
  <si>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</si>
  <si>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</si>
  <si>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</si>
  <si>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</si>
  <si>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</si>
  <si>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</si>
  <si>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</si>
  <si>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</si>
  <si>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</si>
  <si>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</si>
  <si>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</si>
  <si>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</si>
  <si>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</si>
  <si>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</si>
  <si>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</si>
  <si>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</si>
  <si>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</si>
  <si>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</si>
  <si>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</si>
  <si>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</si>
  <si>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</si>
  <si>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</si>
  <si>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</si>
  <si>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</si>
  <si>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</si>
  <si>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</si>
  <si>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</si>
  <si>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</si>
  <si>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</si>
  <si>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</si>
  <si>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</si>
  <si>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</si>
  <si>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</si>
  <si>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</si>
  <si>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</si>
  <si>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</si>
  <si>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</si>
  <si>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</si>
  <si>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</si>
  <si>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</si>
  <si>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</si>
  <si>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</si>
  <si>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</si>
  <si>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</si>
  <si>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</si>
  <si>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</si>
  <si>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</si>
  <si>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</si>
  <si>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</si>
  <si>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</si>
  <si>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</si>
  <si>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</si>
  <si>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</si>
  <si>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</si>
  <si>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</si>
  <si>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</si>
  <si>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</si>
  <si>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</si>
  <si>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</si>
  <si>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</si>
  <si>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</si>
  <si>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</si>
  <si>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</si>
  <si>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</si>
  <si>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</si>
  <si>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</si>
  <si>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</si>
  <si>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</si>
  <si>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</si>
  <si>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</si>
  <si>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</si>
  <si>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</si>
  <si>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</si>
  <si>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</si>
  <si>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</si>
  <si>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</si>
  <si>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</si>
  <si>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</si>
  <si>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</si>
  <si>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</si>
  <si>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</si>
  <si>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</si>
  <si>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</si>
  <si>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</si>
  <si>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</si>
  <si>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</si>
  <si>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</si>
  <si>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</si>
  <si>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</si>
  <si>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</si>
  <si>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</si>
  <si>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</si>
  <si>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</si>
  <si>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</si>
  <si>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</si>
  <si>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</si>
  <si>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</si>
  <si>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</si>
  <si>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</si>
  <si>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</si>
  <si>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</si>
  <si>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</si>
  <si>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</si>
  <si>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</si>
  <si>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</si>
  <si>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</si>
  <si>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</si>
  <si>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</si>
  <si>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</si>
  <si>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</si>
  <si>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</si>
  <si>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</si>
  <si>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</si>
  <si>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</si>
  <si>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</si>
  <si>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</si>
  <si>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</si>
  <si>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</si>
  <si>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</si>
  <si>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</si>
  <si>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</si>
  <si>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</si>
  <si>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</si>
  <si>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</si>
  <si>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</si>
  <si>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</si>
  <si>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</si>
  <si>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</si>
  <si>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</si>
  <si>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</si>
  <si>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</si>
  <si>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</si>
  <si>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</si>
  <si>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</si>
  <si>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</si>
  <si>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</si>
  <si>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</si>
  <si>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</si>
  <si>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</si>
  <si>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</si>
  <si>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</si>
  <si>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</si>
  <si>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</si>
  <si>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</si>
  <si>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</si>
  <si>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</si>
  <si>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</si>
  <si>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</si>
  <si>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</si>
  <si>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</si>
  <si>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</si>
  <si>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</si>
  <si>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</si>
  <si>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</si>
  <si>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</si>
  <si>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</si>
  <si>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</si>
  <si>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</si>
  <si>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</si>
  <si>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</si>
  <si>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</si>
  <si>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</si>
  <si>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</si>
  <si>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</si>
  <si>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</si>
  <si>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</si>
  <si>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</si>
  <si>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</si>
  <si>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</si>
  <si>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</si>
  <si>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</si>
  <si>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</si>
  <si>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</si>
  <si>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</si>
  <si>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</si>
  <si>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</si>
  <si>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</si>
  <si>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</si>
  <si>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</si>
  <si>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</si>
  <si>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</si>
  <si>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</si>
  <si>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</si>
  <si>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</si>
  <si>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</si>
  <si>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</si>
  <si>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</si>
  <si>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</si>
  <si>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</si>
  <si>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</si>
  <si>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</si>
  <si>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</si>
  <si>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</si>
  <si>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</si>
  <si>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</si>
  <si>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</si>
  <si>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</si>
  <si>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</si>
  <si>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</si>
  <si>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</si>
  <si>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</si>
  <si>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</si>
  <si>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</si>
  <si>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</si>
  <si>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</si>
  <si>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</si>
  <si>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</si>
  <si>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</si>
  <si>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</si>
  <si>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</si>
  <si>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</si>
  <si>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</si>
  <si>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</si>
  <si>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</si>
  <si>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</si>
  <si>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</si>
  <si>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</si>
  <si>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</si>
  <si>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</si>
  <si>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</si>
  <si>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</si>
  <si>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</si>
  <si>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</si>
  <si>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</si>
  <si>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</si>
  <si>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</si>
  <si>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</si>
  <si>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</si>
  <si>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</si>
  <si>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</si>
  <si>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</si>
  <si>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</si>
  <si>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</si>
  <si>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</si>
  <si>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</si>
  <si>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</si>
  <si>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</si>
  <si>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</si>
  <si>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</si>
  <si>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</si>
  <si>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</si>
  <si>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</si>
  <si>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</si>
  <si>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</si>
  <si>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</si>
  <si>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</si>
  <si>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</si>
  <si>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</si>
  <si>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</si>
  <si>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</si>
  <si>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</si>
  <si>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</si>
  <si>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</si>
  <si>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</si>
  <si>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</si>
  <si>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</si>
  <si>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</si>
  <si>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</si>
  <si>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</si>
  <si>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</si>
  <si>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</si>
  <si>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</si>
  <si>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</si>
  <si>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</si>
  <si>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</si>
  <si>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</si>
  <si>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</si>
  <si>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</si>
  <si>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</si>
  <si>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</si>
  <si>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</si>
  <si>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</si>
  <si>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</si>
  <si>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</si>
  <si>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</si>
  <si>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</si>
  <si>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</si>
  <si>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</si>
  <si>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</si>
  <si>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</si>
  <si>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</si>
  <si>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</si>
  <si>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</si>
  <si>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</si>
  <si>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</si>
  <si>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</si>
  <si>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</si>
  <si>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</si>
  <si>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</si>
  <si>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</si>
  <si>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</si>
  <si>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</si>
  <si>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</si>
  <si>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</si>
  <si>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</si>
  <si>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</si>
  <si>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</si>
  <si>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</si>
  <si>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</si>
  <si>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</si>
  <si>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</si>
  <si>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</si>
  <si>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</si>
  <si>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</si>
  <si>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</si>
  <si>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</si>
  <si>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</si>
  <si>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</si>
  <si>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</si>
  <si>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</si>
  <si>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</si>
  <si>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</si>
  <si>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</si>
  <si>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</si>
  <si>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</si>
  <si>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</si>
  <si>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</si>
  <si>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</si>
  <si>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</si>
  <si>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</si>
  <si>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</si>
  <si>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</si>
  <si>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</si>
  <si>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</si>
  <si>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</si>
  <si>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</si>
  <si>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</si>
  <si>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</si>
  <si>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</si>
  <si>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</si>
  <si>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</si>
  <si>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</si>
  <si>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</si>
  <si>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</si>
  <si>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</si>
  <si>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</si>
  <si>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</si>
  <si>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</si>
  <si>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</si>
  <si>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</si>
  <si>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</si>
  <si>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</si>
  <si>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</si>
  <si>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</si>
  <si>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</si>
  <si>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</si>
  <si>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</si>
  <si>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</si>
  <si>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</si>
  <si>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</si>
  <si>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</si>
  <si>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</si>
  <si>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</si>
  <si>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</si>
  <si>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</si>
  <si>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</si>
  <si>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</si>
  <si>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</si>
  <si>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</si>
  <si>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</si>
  <si>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</si>
  <si>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</si>
  <si>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</si>
  <si>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</si>
  <si>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</si>
  <si>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</si>
  <si>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</si>
  <si>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</si>
  <si>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</si>
  <si>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</si>
  <si>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</si>
  <si>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</si>
  <si>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</si>
  <si>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</si>
  <si>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</si>
  <si>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</si>
  <si>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</si>
  <si>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</si>
  <si>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</si>
  <si>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</si>
  <si>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</si>
  <si>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</si>
  <si>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</si>
  <si>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</si>
  <si>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</si>
  <si>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</si>
  <si>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</si>
  <si>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</si>
  <si>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</si>
  <si>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</si>
  <si>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</si>
  <si>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</si>
  <si>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</si>
  <si>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</si>
  <si>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</si>
  <si>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</si>
  <si>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</si>
  <si>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</si>
  <si>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</si>
  <si>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</si>
  <si>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</si>
  <si>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</si>
  <si>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</si>
  <si>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</si>
  <si>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</si>
  <si>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</si>
  <si>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</si>
  <si>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</si>
  <si>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</si>
  <si>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</si>
  <si>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</si>
  <si>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</si>
  <si>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</si>
  <si>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</si>
  <si>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</si>
  <si>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</si>
  <si>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</si>
  <si>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</si>
  <si>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</si>
  <si>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</si>
  <si>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</si>
  <si>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</si>
  <si>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</si>
  <si>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</si>
  <si>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</si>
  <si>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</si>
  <si>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</si>
  <si>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</si>
  <si>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</si>
  <si>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</si>
  <si>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</si>
  <si>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</si>
  <si>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</si>
  <si>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</si>
  <si>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</si>
  <si>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</si>
  <si>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</si>
  <si>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</si>
  <si>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</si>
  <si>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</si>
  <si>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</si>
  <si>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</si>
  <si>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</si>
  <si>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</si>
  <si>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</si>
  <si>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</si>
  <si>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</si>
  <si>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</si>
  <si>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</si>
  <si>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</si>
  <si>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</si>
  <si>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</si>
  <si>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</si>
  <si>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</si>
  <si>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</si>
  <si>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</si>
  <si>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</si>
  <si>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</si>
  <si>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</si>
  <si>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</si>
  <si>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</si>
  <si>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</si>
  <si>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</si>
  <si>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</si>
  <si>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</si>
  <si>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</si>
  <si>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</si>
  <si>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</si>
  <si>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</si>
  <si>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</si>
  <si>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</si>
  <si>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</si>
  <si>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</si>
  <si>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</si>
  <si>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</si>
  <si>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</si>
  <si>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</si>
  <si>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</si>
  <si>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</si>
  <si>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</si>
  <si>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</si>
  <si>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</si>
  <si>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</si>
  <si>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</si>
  <si>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</si>
  <si>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</si>
  <si>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</si>
  <si>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</si>
  <si>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</si>
  <si>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</si>
  <si>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</si>
  <si>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</si>
  <si>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</si>
  <si>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</si>
  <si>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</si>
  <si>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</si>
  <si>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</si>
  <si>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</si>
  <si>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</si>
  <si>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</si>
  <si>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</si>
  <si>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</si>
  <si>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</si>
  <si>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</si>
  <si>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</si>
  <si>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</si>
  <si>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</si>
  <si>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</si>
  <si>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</si>
  <si>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</si>
  <si>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</si>
  <si>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</si>
  <si>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</si>
  <si>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</si>
  <si>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</si>
  <si>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</si>
  <si>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</si>
  <si>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</si>
  <si>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</si>
  <si>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</si>
  <si>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</si>
  <si>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</si>
  <si>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</si>
  <si>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</si>
  <si>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</si>
  <si>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</si>
  <si>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</si>
  <si>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</si>
  <si>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</si>
  <si>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</si>
  <si>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</si>
  <si>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</si>
  <si>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</si>
  <si>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</si>
  <si>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</si>
  <si>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</si>
  <si>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</si>
  <si>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</si>
  <si>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</si>
  <si>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</si>
  <si>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</si>
  <si>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</si>
  <si>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</si>
  <si>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</si>
  <si>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</si>
  <si>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</si>
  <si>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</si>
  <si>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</si>
  <si>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</si>
  <si>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</si>
  <si>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</si>
  <si>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</si>
  <si>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</si>
  <si>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</si>
  <si>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</si>
  <si>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</si>
  <si>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</si>
  <si>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</si>
  <si>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</si>
  <si>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</si>
  <si>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</si>
  <si>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</si>
  <si>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</si>
  <si>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</si>
  <si>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</si>
  <si>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</si>
  <si>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</si>
  <si>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</si>
  <si>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</si>
  <si>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</si>
  <si>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</si>
  <si>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</si>
  <si>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</si>
  <si>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</si>
  <si>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</si>
  <si>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</si>
  <si>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</si>
  <si>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</si>
  <si>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</si>
  <si>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</si>
  <si>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</si>
  <si>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</si>
  <si>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</si>
  <si>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</si>
  <si>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</si>
  <si>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</si>
  <si>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</si>
  <si>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</si>
  <si>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</si>
  <si>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</si>
  <si>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</si>
  <si>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</si>
  <si>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</si>
  <si>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</si>
  <si>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</si>
  <si>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</si>
  <si>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</si>
  <si>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</si>
  <si>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</si>
  <si>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</si>
  <si>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</si>
  <si>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</si>
  <si>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</si>
  <si>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</si>
  <si>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</si>
  <si>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</si>
  <si>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</si>
  <si>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</si>
  <si>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</si>
  <si>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</si>
  <si>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</si>
  <si>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</si>
  <si>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</si>
  <si>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</si>
  <si>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</si>
  <si>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</si>
  <si>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</si>
  <si>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</si>
  <si>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</si>
  <si>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</si>
  <si>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</si>
  <si>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</si>
  <si>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</si>
  <si>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</si>
  <si>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</si>
  <si>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</si>
  <si>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</si>
  <si>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</si>
  <si>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</si>
  <si>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</si>
  <si>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</si>
  <si>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</si>
  <si>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</si>
  <si>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</si>
  <si>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</si>
  <si>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</si>
  <si>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</si>
  <si>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</si>
  <si>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</si>
  <si>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</si>
  <si>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</si>
  <si>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</si>
  <si>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</si>
  <si>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</si>
  <si>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</si>
  <si>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</si>
  <si>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</si>
  <si>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</si>
  <si>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</si>
  <si>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</si>
  <si>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</si>
  <si>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</si>
  <si>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</si>
  <si>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</si>
  <si>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</si>
  <si>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</si>
  <si>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</si>
  <si>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</si>
  <si>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</si>
  <si>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</si>
  <si>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</si>
  <si>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</si>
  <si>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</si>
  <si>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</si>
  <si>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</si>
  <si>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</si>
  <si>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</si>
  <si>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</si>
  <si>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</si>
  <si>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</si>
  <si>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</si>
  <si>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</si>
  <si>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</si>
  <si>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</si>
  <si>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</si>
  <si>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</si>
  <si>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</si>
  <si>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</si>
  <si>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</si>
  <si>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</si>
  <si>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</si>
  <si>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</si>
  <si>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</si>
  <si>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</si>
  <si>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</si>
  <si>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</si>
  <si>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</si>
  <si>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</si>
  <si>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</si>
  <si>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</si>
  <si>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</si>
  <si>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</si>
  <si>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</si>
  <si>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</si>
  <si>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</si>
  <si>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</si>
  <si>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</si>
  <si>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</si>
  <si>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</si>
  <si>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</si>
  <si>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</si>
  <si>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</si>
  <si>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</si>
  <si>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</si>
  <si>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</si>
  <si>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</si>
  <si>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</si>
  <si>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</si>
  <si>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</si>
  <si>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</si>
  <si>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</si>
  <si>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</si>
  <si>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</si>
  <si>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</si>
  <si>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</si>
  <si>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</si>
  <si>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</si>
  <si>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</si>
  <si>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</si>
  <si>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</si>
  <si>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</si>
  <si>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</si>
  <si>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</si>
  <si>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</si>
  <si>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</si>
  <si>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</si>
  <si>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</si>
  <si>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</si>
  <si>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</si>
  <si>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</si>
  <si>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</si>
  <si>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</si>
  <si>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</si>
  <si>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</si>
  <si>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</si>
  <si>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</si>
  <si>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</si>
  <si>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</si>
  <si>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</si>
  <si>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</si>
  <si>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</si>
  <si>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</si>
  <si>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</si>
  <si>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</si>
  <si>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</si>
  <si>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</si>
  <si>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</si>
  <si>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</si>
  <si>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</si>
  <si>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</si>
  <si>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</si>
  <si>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</si>
  <si>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</si>
  <si>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</si>
  <si>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</si>
  <si>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</si>
  <si>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</si>
  <si>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</si>
  <si>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</si>
  <si>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</si>
  <si>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</si>
  <si>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</si>
  <si>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</si>
  <si>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</si>
  <si>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</si>
  <si>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</si>
  <si>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</si>
  <si>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</si>
  <si>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</si>
  <si>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</si>
  <si>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</si>
  <si>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</si>
  <si>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</si>
  <si>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</si>
  <si>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</si>
  <si>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</si>
  <si>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</si>
  <si>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</si>
  <si>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</si>
  <si>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</si>
  <si>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</si>
  <si>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</si>
  <si>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</si>
  <si>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</si>
  <si>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</si>
  <si>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</si>
  <si>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</si>
  <si>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</si>
  <si>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</si>
  <si>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</si>
  <si>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</si>
  <si>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</si>
  <si>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</si>
  <si>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</si>
  <si>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</si>
  <si>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</si>
  <si>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</si>
  <si>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</si>
  <si>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</si>
  <si>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</si>
  <si>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</si>
  <si>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</si>
  <si>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</si>
  <si>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</si>
  <si>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</si>
  <si>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</si>
  <si>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</si>
  <si>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</si>
  <si>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</si>
  <si>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</si>
  <si>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</si>
  <si>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</si>
  <si>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</si>
  <si>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</si>
  <si>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</si>
  <si>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</si>
  <si>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</si>
  <si>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</si>
  <si>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</si>
  <si>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</si>
  <si>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</si>
  <si>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</si>
  <si>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</si>
  <si>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</si>
  <si>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</si>
  <si>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</si>
  <si>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</si>
  <si>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</si>
  <si>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</si>
  <si>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</si>
  <si>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</si>
  <si>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</si>
  <si>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</si>
  <si>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</si>
  <si>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</si>
  <si>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</si>
  <si>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</si>
  <si>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</si>
  <si>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</si>
  <si>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</si>
  <si>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</si>
  <si>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</si>
  <si>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</si>
  <si>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</si>
  <si>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</si>
  <si>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</si>
  <si>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</si>
  <si>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</si>
  <si>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</si>
  <si>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</si>
  <si>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</si>
  <si>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</si>
  <si>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</si>
  <si>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</si>
  <si>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</si>
  <si>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</si>
  <si>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</si>
  <si>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</si>
  <si>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</si>
  <si>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</si>
  <si>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</si>
  <si>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</si>
  <si>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</si>
  <si>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</si>
  <si>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</si>
  <si>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</si>
  <si>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</si>
  <si>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</si>
  <si>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</si>
  <si>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</si>
  <si>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</si>
  <si>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</si>
  <si>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</si>
  <si>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</si>
  <si>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</si>
  <si>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</si>
  <si>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</si>
  <si>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</si>
  <si>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</si>
  <si>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</si>
  <si>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</si>
  <si>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</si>
  <si>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</si>
  <si>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</si>
  <si>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</si>
  <si>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</si>
  <si>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</si>
  <si>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</si>
  <si>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</si>
  <si>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</si>
  <si>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</si>
  <si>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</si>
  <si>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</si>
  <si>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</si>
  <si>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</si>
  <si>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</si>
  <si>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</si>
  <si>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</si>
  <si>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</si>
  <si>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</si>
  <si>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</si>
  <si>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</si>
  <si>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</si>
  <si>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</si>
  <si>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</si>
  <si>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</si>
  <si>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</si>
  <si>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</si>
  <si>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</si>
  <si>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</si>
  <si>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</si>
  <si>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</si>
  <si>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</si>
  <si>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</si>
  <si>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</si>
  <si>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</si>
  <si>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</si>
  <si>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</si>
  <si>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</si>
  <si>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</si>
  <si>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</si>
  <si>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</si>
  <si>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</si>
  <si>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</si>
  <si>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</si>
  <si>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</si>
  <si>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</si>
  <si>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</si>
  <si>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</si>
  <si>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</si>
  <si>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</si>
  <si>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</si>
  <si>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</si>
  <si>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</si>
  <si>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</si>
  <si>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</si>
  <si>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</si>
  <si>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</si>
  <si>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</si>
  <si>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</si>
  <si>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</si>
  <si>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</si>
  <si>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</si>
  <si>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</si>
  <si>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</si>
  <si>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</si>
  <si>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</si>
  <si>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</si>
  <si>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</si>
  <si>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</si>
  <si>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</si>
  <si>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</si>
  <si>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</si>
  <si>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</si>
  <si>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</si>
  <si>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</si>
  <si>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</si>
  <si>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</si>
  <si>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</si>
  <si>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</si>
  <si>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</si>
  <si>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</si>
  <si>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</si>
  <si>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</si>
  <si>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</si>
  <si>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</si>
  <si>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</si>
  <si>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</si>
  <si>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</si>
  <si>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</si>
  <si>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</si>
  <si>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</si>
  <si>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</si>
  <si>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</si>
  <si>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</si>
  <si>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</si>
  <si>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</si>
  <si>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</si>
  <si>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</si>
  <si>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</si>
  <si>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</si>
  <si>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</si>
  <si>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</si>
  <si>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</si>
  <si>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</si>
  <si>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</si>
  <si>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</si>
  <si>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</si>
  <si>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</si>
  <si>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</si>
  <si>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</si>
  <si>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</si>
  <si>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</si>
  <si>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</si>
  <si>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</si>
  <si>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</si>
  <si>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</si>
  <si>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</si>
  <si>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</si>
  <si>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</si>
  <si>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</si>
  <si>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</si>
  <si>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</si>
  <si>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</si>
  <si>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</si>
  <si>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</si>
  <si>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</si>
  <si>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</si>
  <si>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</si>
  <si>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</si>
  <si>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</si>
  <si>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</si>
  <si>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</si>
  <si>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</si>
  <si>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</si>
  <si>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</si>
  <si>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</si>
  <si>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</si>
  <si>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</si>
  <si>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</si>
  <si>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</si>
  <si>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</si>
  <si>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</si>
  <si>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</si>
  <si>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</si>
  <si>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</si>
  <si>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</si>
  <si>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</si>
  <si>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</si>
  <si>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</si>
  <si>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</si>
  <si>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</si>
  <si>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</si>
  <si>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</si>
  <si>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</si>
  <si>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</si>
  <si>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</si>
  <si>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</si>
  <si>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</si>
  <si>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</si>
  <si>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</si>
  <si>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</si>
  <si>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</si>
  <si>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</si>
  <si>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</si>
  <si>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</si>
  <si>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</si>
  <si>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</si>
  <si>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</si>
  <si>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</si>
  <si>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</si>
  <si>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</si>
  <si>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</si>
  <si>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</si>
  <si>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</si>
  <si>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</si>
  <si>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</si>
  <si>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</si>
  <si>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</si>
  <si>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</si>
  <si>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</si>
  <si>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</si>
  <si>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</si>
  <si>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</si>
  <si>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</si>
  <si>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</si>
  <si>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</si>
  <si>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</si>
  <si>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</si>
  <si>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</si>
  <si>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</si>
  <si>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</si>
  <si>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</si>
  <si>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</si>
  <si>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</si>
  <si>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</si>
  <si>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</si>
  <si>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</si>
  <si>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</si>
  <si>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</si>
  <si>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</si>
  <si>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</si>
  <si>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</si>
  <si>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</si>
  <si>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</si>
  <si>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</si>
  <si>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</si>
  <si>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</si>
  <si>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</si>
  <si>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</si>
  <si>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</si>
  <si>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</si>
  <si>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</si>
  <si>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</si>
  <si>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</si>
  <si>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</si>
  <si>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</si>
  <si>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</si>
  <si>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</si>
  <si>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</si>
  <si>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</si>
  <si>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</si>
  <si>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</si>
  <si>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</si>
  <si>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</si>
  <si>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</si>
  <si>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</si>
  <si>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</si>
  <si>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</si>
  <si>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</si>
  <si>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</si>
  <si>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</si>
  <si>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</si>
  <si>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</si>
  <si>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</si>
  <si>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</si>
  <si>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</si>
  <si>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</si>
  <si>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</si>
  <si>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</si>
  <si>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</si>
  <si>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</si>
  <si>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</si>
  <si>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</si>
  <si>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</si>
  <si>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</si>
  <si>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</si>
  <si>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</si>
  <si>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</si>
  <si>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</si>
  <si>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</si>
  <si>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</si>
  <si>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</si>
  <si>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</si>
  <si>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</si>
  <si>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</si>
  <si>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</si>
  <si>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</si>
  <si>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</si>
  <si>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</si>
  <si>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</si>
  <si>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</si>
  <si>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</si>
  <si>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</si>
  <si>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</si>
  <si>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</si>
  <si>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</si>
  <si>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</si>
  <si>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</si>
  <si>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</si>
  <si>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</si>
  <si>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</si>
  <si>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</si>
  <si>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</si>
  <si>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</si>
  <si>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</si>
  <si>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</si>
  <si>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</si>
  <si>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</si>
  <si>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</si>
  <si>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</si>
  <si>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</si>
  <si>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</si>
  <si>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</si>
  <si>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</si>
  <si>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</si>
  <si>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</si>
  <si>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</si>
  <si>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</si>
  <si>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</si>
  <si>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</si>
  <si>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</si>
  <si>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</si>
  <si>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</si>
  <si>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</si>
  <si>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</si>
  <si>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</si>
  <si>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</si>
  <si>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</si>
  <si>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</si>
  <si>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</si>
  <si>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</si>
  <si>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</si>
  <si>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</si>
  <si>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</si>
  <si>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</si>
  <si>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</si>
  <si>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</si>
  <si>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</si>
  <si>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</si>
  <si>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</si>
  <si>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</si>
  <si>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</si>
  <si>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</si>
  <si>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</si>
  <si>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</si>
  <si>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</si>
  <si>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</si>
  <si>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</si>
  <si>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</si>
  <si>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</si>
  <si>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</si>
  <si>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TARAVO</t>
  </si>
  <si>
    <t xml:space="preserve">Olivese (Forciolo)</t>
  </si>
  <si>
    <t xml:space="preserve">06217470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</si>
  <si>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</si>
  <si>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</si>
  <si>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</si>
  <si>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</si>
  <si>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</si>
  <si>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</si>
  <si>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</si>
  <si>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</si>
  <si>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</si>
  <si>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</si>
  <si>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</si>
  <si>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</si>
  <si>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</si>
  <si>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</si>
  <si>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</si>
  <si>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</si>
  <si>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</si>
  <si>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</si>
  <si>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</si>
  <si>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</si>
  <si>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</si>
  <si>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</si>
  <si>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</si>
  <si>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</si>
  <si>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</si>
  <si>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</si>
  <si>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</si>
  <si>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</si>
  <si>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</si>
  <si>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</si>
  <si>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</si>
  <si>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</si>
  <si>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</si>
  <si>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</si>
  <si>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</si>
  <si>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</si>
  <si>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</si>
  <si>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</si>
  <si>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</si>
  <si>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</si>
  <si>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</si>
  <si>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</si>
  <si>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</si>
  <si>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</si>
  <si>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</si>
  <si>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</si>
  <si>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</si>
  <si>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</si>
  <si>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</si>
  <si>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(2,10805 %)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</si>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</sst>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41080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13.8387096774194</v>
      </c>
      <c r="M5" s="293"/>
      <c r="N5" s="294"/>
      <c r="O5" s="295" t="n">
        <v>13.56</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71</v>
      </c>
      <c r="C7" s="307" t="n">
        <v>29</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8.94117647058824</v>
      </c>
      <c r="O8" s="323" t="n">
        <f aca="false">AVERAGE(J23:J82)</f>
        <v>1.23529411764706</v>
      </c>
      <c r="P8" s="324"/>
      <c r="Q8" s="250"/>
      <c r="R8" s="250"/>
      <c r="S8" s="250"/>
      <c r="T8" s="250"/>
      <c r="U8" s="250"/>
      <c r="V8" s="250"/>
      <c r="W8" s="262"/>
      <c r="X8" s="263"/>
    </row>
    <row r="9" customFormat="false" ht="13.5" hidden="false" customHeight="false" outlineLevel="0" collapsed="false">
      <c r="A9" s="283" t="s">
        <v>2636</v>
      </c>
      <c r="B9" s="325" t="n">
        <v>2.7</v>
      </c>
      <c r="C9" s="326" t="n">
        <v>0.7</v>
      </c>
      <c r="D9" s="327"/>
      <c r="E9" s="327"/>
      <c r="F9" s="328" t="n">
        <f aca="false">($B9*$B$7+$C9*$C$7)/100</f>
        <v>2.12</v>
      </c>
      <c r="G9" s="329"/>
      <c r="H9" s="330"/>
      <c r="I9" s="331"/>
      <c r="J9" s="332"/>
      <c r="K9" s="313"/>
      <c r="L9" s="333"/>
      <c r="M9" s="322" t="s">
        <v>2637</v>
      </c>
      <c r="N9" s="323" t="n">
        <f aca="false">STDEV(I23:I82)</f>
        <v>6.42719406346282</v>
      </c>
      <c r="O9" s="323" t="n">
        <f aca="false">STDEV(J23:J82)</f>
        <v>0.970142500145332</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6</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4</v>
      </c>
      <c r="L13" s="355"/>
      <c r="M13" s="366" t="s">
        <v>2648</v>
      </c>
      <c r="N13" s="367" t="n">
        <f aca="false">COUNTIF(F23:F82,"&gt;0")</f>
        <v>17</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17</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5</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2.675</v>
      </c>
      <c r="C20" s="405" t="n">
        <f aca="false">SUM(C23:C82)</f>
        <v>0.72</v>
      </c>
      <c r="D20" s="406"/>
      <c r="E20" s="407" t="s">
        <v>2660</v>
      </c>
      <c r="F20" s="408" t="n">
        <f aca="false">($B20*$B$7+$C20*$C$7)/100</f>
        <v>2.10805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1.89925</v>
      </c>
      <c r="C21" s="418" t="n">
        <f aca="false">C20*C7/100</f>
        <v>0.2088</v>
      </c>
      <c r="D21" s="350" t="str">
        <f aca="false">IF(F21=0,"",IF((ABS(F21-F19))&gt;(0.2*F21),CONCATENATE(" rec. par taxa (",F21," %) supérieur à 20 % !"),""))</f>
        <v> rec. par taxa (2,10805 %) supérieur à 20 % !</v>
      </c>
      <c r="E21" s="419" t="str">
        <f aca="false">IF(F21=0,"",IF((ABS(F21-F19))&gt;(0.2*F21),CONCATENATE("ATTENTION : écart entre rec. par grp (",F19," %) ","et",""),""))</f>
        <v>ATTENTION : écart entre rec. par grp (0 %) et</v>
      </c>
      <c r="F21" s="420" t="n">
        <f aca="false">B21+C21</f>
        <v>2.10805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0.00355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0.00355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0.005</v>
      </c>
      <c r="C24" s="464"/>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0.00355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0.00355</v>
      </c>
      <c r="R24" s="456" t="n">
        <f aca="false">IF(OR(ISTEXT(H24),Q24=0),"",IF(Q24&lt;0.1,1,IF(Q24&lt;1,2,IF(Q24&lt;10,3,IF(Q24&lt;50,4,IF(Q24&gt;=50,5,""))))))</f>
        <v>1</v>
      </c>
      <c r="S24" s="456" t="n">
        <f aca="false">IF(ISERROR(R24*I24),0,R24*I24)</f>
        <v>6</v>
      </c>
      <c r="T24" s="456" t="n">
        <f aca="false">IF(ISERROR(R24*I24*J24),0,R24*I24*J24)</f>
        <v>6</v>
      </c>
      <c r="U24" s="470" t="n">
        <f aca="false">IF(ISERROR(R24*J24),0,R24*J24)</f>
        <v>1</v>
      </c>
      <c r="V24" s="457" t="n">
        <v>1</v>
      </c>
      <c r="W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1040</v>
      </c>
      <c r="B25" s="463" t="n">
        <v>0.1</v>
      </c>
      <c r="C25" s="464" t="n">
        <v>0.2</v>
      </c>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0.129</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0.129</v>
      </c>
      <c r="R25" s="456" t="n">
        <f aca="false">IF(OR(ISTEXT(H25),Q25=0),"",IF(Q25&lt;0.1,1,IF(Q25&lt;1,2,IF(Q25&lt;10,3,IF(Q25&lt;50,4,IF(Q25&gt;=50,5,""))))))</f>
        <v>2</v>
      </c>
      <c r="S25" s="456" t="n">
        <f aca="false">IF(ISERROR(R25*I25),0,R25*I25)</f>
        <v>30</v>
      </c>
      <c r="T25" s="456" t="n">
        <f aca="false">IF(ISERROR(R25*I25*J25),0,R25*I25*J25)</f>
        <v>60</v>
      </c>
      <c r="U25" s="470" t="n">
        <f aca="false">IF(ISERROR(R25*J25),0,R25*J25)</f>
        <v>4</v>
      </c>
      <c r="V25" s="457" t="n">
        <v>4</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2.1</v>
      </c>
      <c r="C26" s="464" t="n">
        <v>0.01</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1.4939</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1.4939</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1594</v>
      </c>
      <c r="B27" s="463" t="n">
        <v>0.15</v>
      </c>
      <c r="C27" s="464"/>
      <c r="D27" s="465" t="str">
        <f aca="false">IF(ISERROR(VLOOKUP($A27,'liste reference'!$A$7:$D$892,2,0)),IF(ISERROR(VLOOKUP($A27,'liste reference'!$B$7:$D$892,1,0)),"",VLOOKUP($A27,'liste reference'!$B$7:$D$892,1,0)),VLOOKUP($A27,'liste reference'!$A$7:$D$892,2,0))</f>
        <v>Nostoc sp.</v>
      </c>
      <c r="E27" s="465" t="e">
        <f aca="false">IF(D27="",0,VLOOKUP(D27,D$22:D26,1,0))</f>
        <v>#N/A</v>
      </c>
      <c r="F27" s="466" t="n">
        <f aca="false">($B27*$B$7+$C27*$C$7)/100</f>
        <v>0.1065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9</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Nostoc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v>
      </c>
      <c r="Q27" s="455" t="n">
        <f aca="false">IF(ISTEXT(H27),"",(B27*$B$7/100)+(C27*$C$7/100))</f>
        <v>0.1065</v>
      </c>
      <c r="R27" s="456" t="n">
        <f aca="false">IF(OR(ISTEXT(H27),Q27=0),"",IF(Q27&lt;0.1,1,IF(Q27&lt;1,2,IF(Q27&lt;10,3,IF(Q27&lt;50,4,IF(Q27&gt;=50,5,""))))))</f>
        <v>2</v>
      </c>
      <c r="S27" s="456" t="n">
        <f aca="false">IF(ISERROR(R27*I27),0,R27*I27)</f>
        <v>18</v>
      </c>
      <c r="T27" s="456" t="n">
        <f aca="false">IF(ISERROR(R27*I27*J27),0,R27*I27*J27)</f>
        <v>18</v>
      </c>
      <c r="U27" s="470" t="n">
        <f aca="false">IF(ISERROR(R27*J27),0,R27*J27)</f>
        <v>2</v>
      </c>
      <c r="V27" s="457" t="n">
        <v>2</v>
      </c>
      <c r="W27" s="471"/>
      <c r="Y27" s="459" t="str">
        <f aca="false">IF(A27="new.cod","NEWCOD",IF(AND((Z27=""),ISTEXT(A27)),A27,IF(Z27="","",INDEX('liste reference'!$A$7:$A$892,Z27))))</f>
        <v>NOSSPX</v>
      </c>
      <c r="Z27" s="250" t="n">
        <f aca="false">IF(ISERROR(MATCH(A27,'liste reference'!$A$7:$A$892,0)),IF(ISERROR(MATCH(A27,'liste reference'!$B$7:$B$892,0)),"",(MATCH(A27,'liste reference'!$B$7:$B$892,0))),(MATCH(A27,'liste reference'!$A$7:$A$892,0)))</f>
        <v>526</v>
      </c>
      <c r="AA27" s="460"/>
      <c r="AB27" s="461"/>
      <c r="AC27" s="461"/>
      <c r="BC27" s="250" t="n">
        <f aca="false">IF(A27="","",1)</f>
        <v>1</v>
      </c>
    </row>
    <row r="28" customFormat="false" ht="12.75" hidden="false" customHeight="false" outlineLevel="0" collapsed="false">
      <c r="A28" s="462" t="s">
        <v>1710</v>
      </c>
      <c r="B28" s="463"/>
      <c r="C28" s="464" t="n">
        <v>0.005</v>
      </c>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0.00145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0.00145</v>
      </c>
      <c r="R28" s="456" t="n">
        <f aca="false">IF(OR(ISTEXT(H28),Q28=0),"",IF(Q28&lt;0.1,1,IF(Q28&lt;1,2,IF(Q28&lt;10,3,IF(Q28&lt;50,4,IF(Q28&gt;=50,5,""))))))</f>
        <v>1</v>
      </c>
      <c r="S28" s="456" t="n">
        <f aca="false">IF(ISERROR(R28*I28),0,R28*I28)</f>
        <v>13</v>
      </c>
      <c r="T28" s="456" t="n">
        <f aca="false">IF(ISERROR(R28*I28*J28),0,R28*I28*J28)</f>
        <v>26</v>
      </c>
      <c r="U28" s="470" t="n">
        <f aca="false">IF(ISERROR(R28*J28),0,R28*J28)</f>
        <v>2</v>
      </c>
      <c r="V28" s="457" t="n">
        <v>2</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t="s">
        <v>2684</v>
      </c>
      <c r="AB28" s="461"/>
      <c r="AC28" s="461"/>
      <c r="BC28" s="250" t="n">
        <f aca="false">IF(A28="","",1)</f>
        <v>1</v>
      </c>
    </row>
    <row r="29" customFormat="false" ht="12.75" hidden="false" customHeight="false" outlineLevel="0" collapsed="false">
      <c r="A29" s="462" t="s">
        <v>545</v>
      </c>
      <c r="B29" s="463" t="n">
        <v>0.005</v>
      </c>
      <c r="C29" s="464" t="n">
        <v>0.005</v>
      </c>
      <c r="D29" s="465" t="str">
        <f aca="false">IF(ISERROR(VLOOKUP($A29,'liste reference'!$A$7:$D$892,2,0)),IF(ISERROR(VLOOKUP($A29,'liste reference'!$B$7:$D$892,1,0)),"",VLOOKUP($A29,'liste reference'!$B$7:$D$892,1,0)),VLOOKUP($A29,'liste reference'!$A$7:$D$892,2,0))</f>
        <v>Chiloscyphus polyanthos var. polyanthos</v>
      </c>
      <c r="E29" s="465" t="e">
        <f aca="false">IF(D29="",0,VLOOKUP(D29,D$22:D28,1,0))</f>
        <v>#N/A</v>
      </c>
      <c r="F29" s="466" t="n">
        <f aca="false">($B29*$B$7+$C29*$C$7)/100</f>
        <v>0.005</v>
      </c>
      <c r="G29" s="467" t="str">
        <f aca="false">IF(A29="","",IF(ISERROR(VLOOKUP($A29,'liste reference'!$A$7:$P$892,13,0)),IF(ISERROR(VLOOKUP($A29,'liste reference'!$B$7:$P$892,12,0)),"    -",VLOOKUP($A29,'liste reference'!$B$7:$P$892,12,0)),VLOOKUP($A29,'liste reference'!$A$7:$P$892,13,0)))</f>
        <v>BRh</v>
      </c>
      <c r="H29" s="449" t="n">
        <f aca="false">IF(A29="","x",IF(ISERROR(VLOOKUP($A29,'liste reference'!$A$7:$P$892,14,0)),IF(ISERROR(VLOOKUP($A29,'liste reference'!$B$7:$P$892,13,0)),"x",VLOOKUP($A29,'liste reference'!$B$7:$P$892,13,0)),VLOOKUP($A29,'liste reference'!$A$7:$P$892,14,0)))</f>
        <v>4</v>
      </c>
      <c r="I29" s="468" t="n">
        <f aca="false">IF(ISNUMBER(H29),IF(ISERROR(VLOOKUP($A29,'liste reference'!$A$7:$P$892,3,0)),IF(ISERROR(VLOOKUP($A29,'liste reference'!$B$7:$P$892,2,0)),"",VLOOKUP($A29,'liste reference'!$B$7:$P$892,2,0)),VLOOKUP($A29,'liste reference'!$A$7:$P$892,3,0)),"")</f>
        <v>15</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Chiloscyphus polyanthos var. polyanthos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1186</v>
      </c>
      <c r="Q29" s="455" t="n">
        <f aca="false">IF(ISTEXT(H29),"",(B29*$B$7/100)+(C29*$C$7/100))</f>
        <v>0.005</v>
      </c>
      <c r="R29" s="456" t="n">
        <f aca="false">IF(OR(ISTEXT(H29),Q29=0),"",IF(Q29&lt;0.1,1,IF(Q29&lt;1,2,IF(Q29&lt;10,3,IF(Q29&lt;50,4,IF(Q29&gt;=50,5,""))))))</f>
        <v>1</v>
      </c>
      <c r="S29" s="456" t="n">
        <f aca="false">IF(ISERROR(R29*I29),0,R29*I29)</f>
        <v>15</v>
      </c>
      <c r="T29" s="456" t="n">
        <f aca="false">IF(ISERROR(R29*I29*J29),0,R29*I29*J29)</f>
        <v>30</v>
      </c>
      <c r="U29" s="470" t="n">
        <f aca="false">IF(ISERROR(R29*J29),0,R29*J29)</f>
        <v>2</v>
      </c>
      <c r="V29" s="457" t="n">
        <v>2</v>
      </c>
      <c r="W29" s="458"/>
      <c r="Y29" s="459" t="str">
        <f aca="false">IF(A29="new.cod","NEWCOD",IF(AND((Z29=""),ISTEXT(A29)),A29,IF(Z29="","",INDEX('liste reference'!$A$7:$A$892,Z29))))</f>
        <v>CHIPOL</v>
      </c>
      <c r="Z29" s="250" t="n">
        <f aca="false">IF(ISERROR(MATCH(A29,'liste reference'!$A$7:$A$892,0)),IF(ISERROR(MATCH(A29,'liste reference'!$B$7:$B$892,0)),"",(MATCH(A29,'liste reference'!$B$7:$B$892,0))),(MATCH(A29,'liste reference'!$A$7:$A$892,0)))</f>
        <v>166</v>
      </c>
      <c r="AA29" s="460"/>
      <c r="AB29" s="461"/>
      <c r="AC29" s="461"/>
      <c r="BC29" s="250" t="n">
        <f aca="false">IF(A29="","",1)</f>
        <v>1</v>
      </c>
    </row>
    <row r="30" customFormat="false" ht="12.75" hidden="false" customHeight="false" outlineLevel="0" collapsed="false">
      <c r="A30" s="462" t="s">
        <v>2104</v>
      </c>
      <c r="B30" s="463" t="n">
        <v>0.005</v>
      </c>
      <c r="C30" s="464"/>
      <c r="D30" s="465" t="str">
        <f aca="false">IF(ISERROR(VLOOKUP($A30,'liste reference'!$A$7:$D$892,2,0)),IF(ISERROR(VLOOKUP($A30,'liste reference'!$B$7:$D$892,1,0)),"",VLOOKUP($A30,'liste reference'!$B$7:$D$892,1,0)),VLOOKUP($A30,'liste reference'!$A$7:$D$892,2,0))</f>
        <v>Riccardia chamaedryfolia</v>
      </c>
      <c r="E30" s="465" t="e">
        <f aca="false">IF(D30="",0,VLOOKUP(D30,D$22:D29,1,0))</f>
        <v>#N/A</v>
      </c>
      <c r="F30" s="466" t="n">
        <f aca="false">($B30*$B$7+$C30*$C$7)/100</f>
        <v>0.00355</v>
      </c>
      <c r="G30" s="467" t="str">
        <f aca="false">IF(A30="","",IF(ISERROR(VLOOKUP($A30,'liste reference'!$A$7:$P$892,13,0)),IF(ISERROR(VLOOKUP($A30,'liste reference'!$B$7:$P$892,12,0)),"    -",VLOOKUP($A30,'liste reference'!$B$7:$P$892,12,0)),VLOOKUP($A30,'liste reference'!$A$7:$P$892,13,0)))</f>
        <v>BRh</v>
      </c>
      <c r="H30" s="449" t="n">
        <f aca="false">IF(A30="","x",IF(ISERROR(VLOOKUP($A30,'liste reference'!$A$7:$P$892,14,0)),IF(ISERROR(VLOOKUP($A30,'liste reference'!$B$7:$P$892,13,0)),"x",VLOOKUP($A30,'liste reference'!$B$7:$P$892,13,0)),VLOOKUP($A30,'liste reference'!$A$7:$P$892,14,0)))</f>
        <v>4</v>
      </c>
      <c r="I30" s="468" t="n">
        <f aca="false">IF(ISNUMBER(H30),IF(ISERROR(VLOOKUP($A30,'liste reference'!$A$7:$P$892,3,0)),IF(ISERROR(VLOOKUP($A30,'liste reference'!$B$7:$P$892,2,0)),"",VLOOKUP($A30,'liste reference'!$B$7:$P$892,2,0)),VLOOKUP($A30,'liste reference'!$A$7:$P$892,3,0)),"")</f>
        <v>15</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Riccardia chamaedryfolia</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1173</v>
      </c>
      <c r="Q30" s="455" t="n">
        <f aca="false">IF(ISTEXT(H30),"",(B30*$B$7/100)+(C30*$C$7/100))</f>
        <v>0.00355</v>
      </c>
      <c r="R30" s="456" t="n">
        <f aca="false">IF(OR(ISTEXT(H30),Q30=0),"",IF(Q30&lt;0.1,1,IF(Q30&lt;1,2,IF(Q30&lt;10,3,IF(Q30&lt;50,4,IF(Q30&gt;=50,5,""))))))</f>
        <v>1</v>
      </c>
      <c r="S30" s="456" t="n">
        <f aca="false">IF(ISERROR(R30*I30),0,R30*I30)</f>
        <v>15</v>
      </c>
      <c r="T30" s="456" t="n">
        <f aca="false">IF(ISERROR(R30*I30*J30),0,R30*I30*J30)</f>
        <v>30</v>
      </c>
      <c r="U30" s="470" t="n">
        <f aca="false">IF(ISERROR(R30*J30),0,R30*J30)</f>
        <v>2</v>
      </c>
      <c r="V30" s="457" t="n">
        <v>2</v>
      </c>
      <c r="W30" s="458"/>
      <c r="Y30" s="459" t="str">
        <f aca="false">IF(A30="new.cod","NEWCOD",IF(AND((Z30=""),ISTEXT(A30)),A30,IF(Z30="","",INDEX('liste reference'!$A$7:$A$892,Z30))))</f>
        <v>RICCHA</v>
      </c>
      <c r="Z30" s="250" t="n">
        <f aca="false">IF(ISERROR(MATCH(A30,'liste reference'!$A$7:$A$892,0)),IF(ISERROR(MATCH(A30,'liste reference'!$B$7:$B$892,0)),"",(MATCH(A30,'liste reference'!$B$7:$B$892,0))),(MATCH(A30,'liste reference'!$A$7:$A$892,0)))</f>
        <v>711</v>
      </c>
      <c r="AA30" s="460"/>
      <c r="AB30" s="461"/>
      <c r="AC30" s="461"/>
      <c r="BC30" s="250" t="n">
        <f aca="false">IF(A30="","",1)</f>
        <v>1</v>
      </c>
    </row>
    <row r="31" customFormat="false" ht="12.75" hidden="false" customHeight="false" outlineLevel="0" collapsed="false">
      <c r="A31" s="462" t="s">
        <v>979</v>
      </c>
      <c r="B31" s="463" t="n">
        <v>0.1</v>
      </c>
      <c r="C31" s="464" t="n">
        <v>0.2</v>
      </c>
      <c r="D31" s="465" t="str">
        <f aca="false">IF(ISERROR(VLOOKUP($A31,'liste reference'!$A$7:$D$892,2,0)),IF(ISERROR(VLOOKUP($A31,'liste reference'!$B$7:$D$892,1,0)),"",VLOOKUP($A31,'liste reference'!$B$7:$D$892,1,0)),VLOOKUP($A31,'liste reference'!$A$7:$D$892,2,0))</f>
        <v>Fontinalis squamosa</v>
      </c>
      <c r="E31" s="465" t="e">
        <f aca="false">IF(D31="",0,VLOOKUP(D31,D$22:D30,1,0))</f>
        <v>#N/A</v>
      </c>
      <c r="F31" s="466" t="n">
        <f aca="false">($B31*$B$7+$C31*$C$7)/100</f>
        <v>0.129</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16</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Fontinalis squamosa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1312</v>
      </c>
      <c r="Q31" s="455" t="n">
        <f aca="false">IF(ISTEXT(H31),"",(B31*$B$7/100)+(C31*$C$7/100))</f>
        <v>0.129</v>
      </c>
      <c r="R31" s="456" t="n">
        <f aca="false">IF(OR(ISTEXT(H31),Q31=0),"",IF(Q31&lt;0.1,1,IF(Q31&lt;1,2,IF(Q31&lt;10,3,IF(Q31&lt;50,4,IF(Q31&gt;=50,5,""))))))</f>
        <v>2</v>
      </c>
      <c r="S31" s="456" t="n">
        <f aca="false">IF(ISERROR(R31*I31),0,R31*I31)</f>
        <v>32</v>
      </c>
      <c r="T31" s="456" t="n">
        <f aca="false">IF(ISERROR(R31*I31*J31),0,R31*I31*J31)</f>
        <v>96</v>
      </c>
      <c r="U31" s="470" t="n">
        <f aca="false">IF(ISERROR(R31*J31),0,R31*J31)</f>
        <v>6</v>
      </c>
      <c r="V31" s="457" t="n">
        <v>6</v>
      </c>
      <c r="W31" s="458"/>
      <c r="Y31" s="459" t="str">
        <f aca="false">IF(A31="new.cod","NEWCOD",IF(AND((Z31=""),ISTEXT(A31)),A31,IF(Z31="","",INDEX('liste reference'!$A$7:$A$892,Z31))))</f>
        <v>FONSQU</v>
      </c>
      <c r="Z31" s="250" t="n">
        <f aca="false">IF(ISERROR(MATCH(A31,'liste reference'!$A$7:$A$892,0)),IF(ISERROR(MATCH(A31,'liste reference'!$B$7:$B$892,0)),"",(MATCH(A31,'liste reference'!$B$7:$B$892,0))),(MATCH(A31,'liste reference'!$A$7:$A$892,0)))</f>
        <v>308</v>
      </c>
      <c r="AA31" s="460"/>
      <c r="AB31" s="461"/>
      <c r="AC31" s="461"/>
      <c r="BC31" s="250" t="n">
        <f aca="false">IF(A31="","",1)</f>
        <v>1</v>
      </c>
    </row>
    <row r="32" customFormat="false" ht="12.75" hidden="false" customHeight="false" outlineLevel="0" collapsed="false">
      <c r="A32" s="462" t="s">
        <v>2077</v>
      </c>
      <c r="B32" s="463" t="n">
        <v>0.1</v>
      </c>
      <c r="C32" s="464"/>
      <c r="D32" s="465" t="str">
        <f aca="false">IF(ISERROR(VLOOKUP($A32,'liste reference'!$A$7:$D$892,2,0)),IF(ISERROR(VLOOKUP($A32,'liste reference'!$B$7:$D$892,1,0)),"",VLOOKUP($A32,'liste reference'!$B$7:$D$892,1,0)),VLOOKUP($A32,'liste reference'!$A$7:$D$892,2,0))</f>
        <v>Rhynchostegium riparioides</v>
      </c>
      <c r="E32" s="465" t="e">
        <f aca="false">IF(D32="",0,VLOOKUP(D32,D$22:D31,1,0))</f>
        <v>#N/A</v>
      </c>
      <c r="F32" s="466" t="n">
        <f aca="false">($B32*$B$7+$C32*$C$7)/100</f>
        <v>0.071</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Rhynchostegium riparioides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1268</v>
      </c>
      <c r="Q32" s="455" t="n">
        <f aca="false">IF(ISTEXT(H32),"",(B32*$B$7/100)+(C32*$C$7/100))</f>
        <v>0.071</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RHYRIP</v>
      </c>
      <c r="Z32" s="250" t="n">
        <f aca="false">IF(ISERROR(MATCH(A32,'liste reference'!$A$7:$A$892,0)),IF(ISERROR(MATCH(A32,'liste reference'!$B$7:$B$892,0)),"",(MATCH(A32,'liste reference'!$B$7:$B$892,0))),(MATCH(A32,'liste reference'!$A$7:$A$892,0)))</f>
        <v>705</v>
      </c>
      <c r="AA32" s="460"/>
      <c r="AB32" s="461"/>
      <c r="AC32" s="461"/>
      <c r="BC32" s="250" t="n">
        <f aca="false">IF(A32="","",1)</f>
        <v>1</v>
      </c>
    </row>
    <row r="33" customFormat="false" ht="12.75" hidden="false" customHeight="false" outlineLevel="0" collapsed="false">
      <c r="A33" s="462" t="s">
        <v>839</v>
      </c>
      <c r="B33" s="463" t="n">
        <v>0.005</v>
      </c>
      <c r="C33" s="464" t="n">
        <v>0.005</v>
      </c>
      <c r="D33" s="465" t="str">
        <f aca="false">IF(ISERROR(VLOOKUP($A33,'liste reference'!$A$7:$D$892,2,0)),IF(ISERROR(VLOOKUP($A33,'liste reference'!$B$7:$D$892,1,0)),"",VLOOKUP($A33,'liste reference'!$B$7:$D$892,1,0)),VLOOKUP($A33,'liste reference'!$A$7:$D$892,2,0))</f>
        <v>Equisetum arvense</v>
      </c>
      <c r="E33" s="465" t="e">
        <f aca="false">IF(D33="",0,VLOOKUP(D33,D$22:D32,1,0))</f>
        <v>#N/A</v>
      </c>
      <c r="F33" s="466" t="n">
        <f aca="false">($B33*$B$7+$C33*$C$7)/100</f>
        <v>0.005</v>
      </c>
      <c r="G33" s="467" t="str">
        <f aca="false">IF(A33="","",IF(ISERROR(VLOOKUP($A33,'liste reference'!$A$7:$P$892,13,0)),IF(ISERROR(VLOOKUP($A33,'liste reference'!$B$7:$P$892,12,0)),"    -",VLOOKUP($A33,'liste reference'!$B$7:$P$892,12,0)),VLOOKUP($A33,'liste reference'!$A$7:$P$892,13,0)))</f>
        <v>PTE</v>
      </c>
      <c r="H33" s="449" t="n">
        <f aca="false">IF(A33="","x",IF(ISERROR(VLOOKUP($A33,'liste reference'!$A$7:$P$892,14,0)),IF(ISERROR(VLOOKUP($A33,'liste reference'!$B$7:$P$892,13,0)),"x",VLOOKUP($A33,'liste reference'!$B$7:$P$892,13,0)),VLOOKUP($A33,'liste reference'!$A$7:$P$892,14,0)))</f>
        <v>6</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Equisetum arvense</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1384</v>
      </c>
      <c r="Q33" s="455" t="n">
        <f aca="false">IF(ISTEXT(H33),"",(B33*$B$7/100)+(C33*$C$7/100))</f>
        <v>0.005</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EQUARV</v>
      </c>
      <c r="Z33" s="250" t="n">
        <f aca="false">IF(ISERROR(MATCH(A33,'liste reference'!$A$7:$A$892,0)),IF(ISERROR(MATCH(A33,'liste reference'!$B$7:$B$892,0)),"",(MATCH(A33,'liste reference'!$B$7:$B$892,0))),(MATCH(A33,'liste reference'!$A$7:$A$892,0)))</f>
        <v>266</v>
      </c>
      <c r="AA33" s="460"/>
      <c r="AB33" s="461"/>
      <c r="AC33" s="461"/>
      <c r="BC33" s="250" t="n">
        <f aca="false">IF(A33="","",1)</f>
        <v>1</v>
      </c>
    </row>
    <row r="34" customFormat="false" ht="12.75" hidden="false" customHeight="false" outlineLevel="0" collapsed="false">
      <c r="A34" s="462" t="s">
        <v>1657</v>
      </c>
      <c r="B34" s="463" t="n">
        <v>0.1</v>
      </c>
      <c r="C34" s="464" t="n">
        <v>0.25</v>
      </c>
      <c r="D34" s="465" t="str">
        <f aca="false">IF(ISERROR(VLOOKUP($A34,'liste reference'!$A$7:$D$892,2,0)),IF(ISERROR(VLOOKUP($A34,'liste reference'!$B$7:$D$892,1,0)),"",VLOOKUP($A34,'liste reference'!$B$7:$D$892,1,0)),VLOOKUP($A34,'liste reference'!$A$7:$D$892,2,0))</f>
        <v>Osmunda regalis</v>
      </c>
      <c r="E34" s="465" t="e">
        <f aca="false">IF(D34="",0,VLOOKUP(D34,D$22:D33,1,0))</f>
        <v>#N/A</v>
      </c>
      <c r="F34" s="472" t="n">
        <f aca="false">($B34*$B$7+$C34*$C$7)/100</f>
        <v>0.1435</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Osmunda regalis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143</v>
      </c>
      <c r="Q34" s="455" t="n">
        <f aca="false">IF(ISTEXT(H34),"",(B34*$B$7/100)+(C34*$C$7/100))</f>
        <v>0.1435</v>
      </c>
      <c r="R34" s="456" t="n">
        <f aca="false">IF(OR(ISTEXT(H34),Q34=0),"",IF(Q34&lt;0.1,1,IF(Q34&lt;1,2,IF(Q34&lt;10,3,IF(Q34&lt;50,4,IF(Q34&gt;=50,5,""))))))</f>
        <v>2</v>
      </c>
      <c r="S34" s="456" t="n">
        <f aca="false">IF(ISERROR(R34*I34),0,R34*I34)</f>
        <v>0</v>
      </c>
      <c r="T34" s="456" t="n">
        <f aca="false">IF(ISERROR(R34*I34*J34),0,R34*I34*J34)</f>
        <v>0</v>
      </c>
      <c r="U34" s="470" t="n">
        <f aca="false">IF(ISERROR(R34*J34),0,R34*J34)</f>
        <v>0</v>
      </c>
      <c r="V34" s="457" t="n">
        <v>0</v>
      </c>
      <c r="W34" s="458"/>
      <c r="X34" s="458"/>
      <c r="Y34" s="459" t="str">
        <f aca="false">IF(A34="new.cod","NEWCOD",IF(AND((Z34=""),ISTEXT(A34)),A34,IF(Z34="","",INDEX('liste reference'!$A$7:$A$892,Z34))))</f>
        <v>OSMREG</v>
      </c>
      <c r="Z34" s="250" t="n">
        <f aca="false">IF(ISERROR(MATCH(A34,'liste reference'!$A$7:$A$892,0)),IF(ISERROR(MATCH(A34,'liste reference'!$B$7:$B$892,0)),"",(MATCH(A34,'liste reference'!$B$7:$B$892,0))),(MATCH(A34,'liste reference'!$A$7:$A$892,0)))</f>
        <v>552</v>
      </c>
      <c r="AA34" s="460"/>
      <c r="AB34" s="461"/>
      <c r="AC34" s="461"/>
      <c r="BC34" s="250" t="n">
        <f aca="false">IF(A34="","",1)</f>
        <v>1</v>
      </c>
    </row>
    <row r="35" customFormat="false" ht="12.75" hidden="false" customHeight="false" outlineLevel="0" collapsed="false">
      <c r="A35" s="462" t="s">
        <v>1336</v>
      </c>
      <c r="B35" s="463"/>
      <c r="C35" s="464" t="n">
        <v>0.01</v>
      </c>
      <c r="D35" s="465" t="str">
        <f aca="false">IF(ISERROR(VLOOKUP($A35,'liste reference'!$A$7:$D$892,2,0)),IF(ISERROR(VLOOKUP($A35,'liste reference'!$B$7:$D$892,1,0)),"",VLOOKUP($A35,'liste reference'!$B$7:$D$892,1,0)),VLOOKUP($A35,'liste reference'!$A$7:$D$892,2,0))</f>
        <v>Lycopus europaeus</v>
      </c>
      <c r="E35" s="465" t="e">
        <f aca="false">IF(D35="",0,VLOOKUP(D35,D$22:D34,1,0))</f>
        <v>#N/A</v>
      </c>
      <c r="F35" s="472" t="n">
        <f aca="false">($B35*$B$7+$C35*$C$7)/100</f>
        <v>0.0029</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11</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Lycopus europaeus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1789</v>
      </c>
      <c r="Q35" s="455" t="n">
        <f aca="false">IF(ISTEXT(H35),"",(B35*$B$7/100)+(C35*$C$7/100))</f>
        <v>0.0029</v>
      </c>
      <c r="R35" s="456" t="n">
        <f aca="false">IF(OR(ISTEXT(H35),Q35=0),"",IF(Q35&lt;0.1,1,IF(Q35&lt;1,2,IF(Q35&lt;10,3,IF(Q35&lt;50,4,IF(Q35&gt;=50,5,""))))))</f>
        <v>1</v>
      </c>
      <c r="S35" s="456" t="n">
        <f aca="false">IF(ISERROR(R35*I35),0,R35*I35)</f>
        <v>11</v>
      </c>
      <c r="T35" s="456" t="n">
        <f aca="false">IF(ISERROR(R35*I35*J35),0,R35*I35*J35)</f>
        <v>11</v>
      </c>
      <c r="U35" s="470" t="n">
        <f aca="false">IF(ISERROR(R35*J35),0,R35*J35)</f>
        <v>1</v>
      </c>
      <c r="V35" s="457" t="n">
        <v>1</v>
      </c>
      <c r="W35" s="458"/>
      <c r="Y35" s="459" t="str">
        <f aca="false">IF(A35="new.cod","NEWCOD",IF(AND((Z35=""),ISTEXT(A35)),A35,IF(Z35="","",INDEX('liste reference'!$A$7:$A$892,Z35))))</f>
        <v>LYCEUR</v>
      </c>
      <c r="Z35" s="250" t="n">
        <f aca="false">IF(ISERROR(MATCH(A35,'liste reference'!$A$7:$A$892,0)),IF(ISERROR(MATCH(A35,'liste reference'!$B$7:$B$892,0)),"",(MATCH(A35,'liste reference'!$B$7:$B$892,0))),(MATCH(A35,'liste reference'!$A$7:$A$892,0)))</f>
        <v>433</v>
      </c>
      <c r="AA35" s="460"/>
      <c r="AB35" s="461"/>
      <c r="AC35" s="461"/>
      <c r="BC35" s="250" t="n">
        <f aca="false">IF(A35="","",1)</f>
        <v>1</v>
      </c>
    </row>
    <row r="36" customFormat="false" ht="12.75" hidden="false" customHeight="false" outlineLevel="0" collapsed="false">
      <c r="A36" s="462" t="s">
        <v>1420</v>
      </c>
      <c r="B36" s="463"/>
      <c r="C36" s="464" t="n">
        <v>0.005</v>
      </c>
      <c r="D36" s="465" t="str">
        <f aca="false">IF(ISERROR(VLOOKUP($A36,'liste reference'!$A$7:$D$892,2,0)),IF(ISERROR(VLOOKUP($A36,'liste reference'!$B$7:$D$892,1,0)),"",VLOOKUP($A36,'liste reference'!$B$7:$D$892,1,0)),VLOOKUP($A36,'liste reference'!$A$7:$D$892,2,0))</f>
        <v>Mentha sp.</v>
      </c>
      <c r="E36" s="465" t="e">
        <f aca="false">IF(D36="",0,VLOOKUP(D36,D$22:D35,1,0))</f>
        <v>#N/A</v>
      </c>
      <c r="F36" s="472" t="n">
        <f aca="false">($B36*$B$7+$C36*$C$7)/100</f>
        <v>0.00145</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Mentha sp.</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179</v>
      </c>
      <c r="Q36" s="455" t="n">
        <f aca="false">IF(ISTEXT(H36),"",(B36*$B$7/100)+(C36*$C$7/100))</f>
        <v>0.00145</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MENSPX</v>
      </c>
      <c r="Z36" s="250" t="n">
        <f aca="false">IF(ISERROR(MATCH(A36,'liste reference'!$A$7:$A$892,0)),IF(ISERROR(MATCH(A36,'liste reference'!$B$7:$B$892,0)),"",(MATCH(A36,'liste reference'!$B$7:$B$892,0))),(MATCH(A36,'liste reference'!$A$7:$A$892,0)))</f>
        <v>462</v>
      </c>
      <c r="AA36" s="460"/>
      <c r="AB36" s="461"/>
      <c r="AC36" s="461"/>
      <c r="BC36" s="250" t="n">
        <f aca="false">IF(A36="","",1)</f>
        <v>1</v>
      </c>
    </row>
    <row r="37" customFormat="false" ht="12.75" hidden="false" customHeight="false" outlineLevel="0" collapsed="false">
      <c r="A37" s="462" t="s">
        <v>1640</v>
      </c>
      <c r="B37" s="463"/>
      <c r="C37" s="464" t="n">
        <v>0.005</v>
      </c>
      <c r="D37" s="465" t="str">
        <f aca="false">IF(ISERROR(VLOOKUP($A37,'liste reference'!$A$7:$D$892,2,0)),IF(ISERROR(VLOOKUP($A37,'liste reference'!$B$7:$D$892,1,0)),"",VLOOKUP($A37,'liste reference'!$B$7:$D$892,1,0)),VLOOKUP($A37,'liste reference'!$A$7:$D$892,2,0))</f>
        <v>Oenanthe crocata</v>
      </c>
      <c r="E37" s="465" t="e">
        <f aca="false">IF(D37="",0,VLOOKUP(D37,D$22:D36,1,0))</f>
        <v>#N/A</v>
      </c>
      <c r="F37" s="472" t="n">
        <f aca="false">($B37*$B$7+$C37*$C$7)/100</f>
        <v>0.00145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Oenanthe crocata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1986</v>
      </c>
      <c r="Q37" s="455" t="n">
        <f aca="false">IF(ISTEXT(H37),"",(B37*$B$7/100)+(C37*$C$7/100))</f>
        <v>0.00145</v>
      </c>
      <c r="R37" s="456" t="n">
        <f aca="false">IF(OR(ISTEXT(H37),Q37=0),"",IF(Q37&lt;0.1,1,IF(Q37&lt;1,2,IF(Q37&lt;10,3,IF(Q37&lt;50,4,IF(Q37&gt;=50,5,""))))))</f>
        <v>1</v>
      </c>
      <c r="S37" s="456" t="n">
        <f aca="false">IF(ISERROR(R37*I37),0,R37*I37)</f>
        <v>12</v>
      </c>
      <c r="T37" s="456" t="n">
        <f aca="false">IF(ISERROR(R37*I37*J37),0,R37*I37*J37)</f>
        <v>24</v>
      </c>
      <c r="U37" s="470" t="n">
        <f aca="false">IF(ISERROR(R37*J37),0,R37*J37)</f>
        <v>2</v>
      </c>
      <c r="V37" s="457" t="n">
        <v>2</v>
      </c>
      <c r="W37" s="458"/>
      <c r="Y37" s="459" t="str">
        <f aca="false">IF(A37="new.cod","NEWCOD",IF(AND((Z37=""),ISTEXT(A37)),A37,IF(Z37="","",INDEX('liste reference'!$A$7:$A$892,Z37))))</f>
        <v>OENCRO</v>
      </c>
      <c r="Z37" s="250" t="n">
        <f aca="false">IF(ISERROR(MATCH(A37,'liste reference'!$A$7:$A$892,0)),IF(ISERROR(MATCH(A37,'liste reference'!$B$7:$B$892,0)),"",(MATCH(A37,'liste reference'!$B$7:$B$892,0))),(MATCH(A37,'liste reference'!$A$7:$A$892,0)))</f>
        <v>544</v>
      </c>
      <c r="AA37" s="460"/>
      <c r="AB37" s="461"/>
      <c r="AC37" s="461"/>
      <c r="BC37" s="250" t="n">
        <f aca="false">IF(A37="","",1)</f>
        <v>1</v>
      </c>
    </row>
    <row r="38" customFormat="false" ht="12.75" hidden="false" customHeight="false" outlineLevel="0" collapsed="false">
      <c r="A38" s="462" t="s">
        <v>653</v>
      </c>
      <c r="B38" s="463"/>
      <c r="C38" s="464" t="n">
        <v>0.005</v>
      </c>
      <c r="D38" s="465" t="str">
        <f aca="false">IF(ISERROR(VLOOKUP($A38,'liste reference'!$A$7:$D$892,2,0)),IF(ISERROR(VLOOKUP($A38,'liste reference'!$B$7:$D$892,1,0)),"",VLOOKUP($A38,'liste reference'!$B$7:$D$892,1,0)),VLOOKUP($A38,'liste reference'!$A$7:$D$892,2,0))</f>
        <v>Cyperus longus</v>
      </c>
      <c r="E38" s="465" t="e">
        <f aca="false">IF(D38="",0,VLOOKUP(D38,D$22:D37,1,0))</f>
        <v>#N/A</v>
      </c>
      <c r="F38" s="472" t="n">
        <f aca="false">($B38*$B$7+$C38*$C$7)/100</f>
        <v>0.00145</v>
      </c>
      <c r="G38" s="467" t="str">
        <f aca="false">IF(A38="","",IF(ISERROR(VLOOKUP($A38,'liste reference'!$A$7:$P$892,13,0)),IF(ISERROR(VLOOKUP($A38,'liste reference'!$B$7:$P$892,12,0)),"    -",VLOOKUP($A38,'liste reference'!$B$7:$P$892,12,0)),VLOOKUP($A38,'liste reference'!$A$7:$P$892,13,0)))</f>
        <v>PHg</v>
      </c>
      <c r="H38" s="449" t="n">
        <f aca="false">IF(A38="","x",IF(ISERROR(VLOOKUP($A38,'liste reference'!$A$7:$P$892,14,0)),IF(ISERROR(VLOOKUP($A38,'liste reference'!$B$7:$P$892,13,0)),"x",VLOOKUP($A38,'liste reference'!$B$7:$P$892,13,0)),VLOOKUP($A38,'liste reference'!$A$7:$P$892,14,0)))</f>
        <v>9</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Cyperus longus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15</v>
      </c>
      <c r="Q38" s="455" t="n">
        <f aca="false">IF(ISTEXT(H38),"",(B38*$B$7/100)+(C38*$C$7/100))</f>
        <v>0.00145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CYPLON</v>
      </c>
      <c r="Z38" s="250" t="n">
        <f aca="false">IF(ISERROR(MATCH(A38,'liste reference'!$A$7:$A$892,0)),IF(ISERROR(MATCH(A38,'liste reference'!$B$7:$B$892,0)),"",(MATCH(A38,'liste reference'!$B$7:$B$892,0))),(MATCH(A38,'liste reference'!$A$7:$A$892,0)))</f>
        <v>201</v>
      </c>
      <c r="AA38" s="460"/>
      <c r="AB38" s="461"/>
      <c r="AC38" s="461"/>
      <c r="BC38" s="250" t="n">
        <f aca="false">IF(A38="","",1)</f>
        <v>1</v>
      </c>
    </row>
    <row r="39" customFormat="false" ht="12.75" hidden="false" customHeight="false" outlineLevel="0" collapsed="false">
      <c r="A39" s="462" t="s">
        <v>1269</v>
      </c>
      <c r="B39" s="463"/>
      <c r="C39" s="464" t="n">
        <v>0.02</v>
      </c>
      <c r="D39" s="465" t="str">
        <f aca="false">IF(ISERROR(VLOOKUP($A39,'liste reference'!$A$7:$D$892,2,0)),IF(ISERROR(VLOOKUP($A39,'liste reference'!$B$7:$D$892,1,0)),"",VLOOKUP($A39,'liste reference'!$B$7:$D$892,1,0)),VLOOKUP($A39,'liste reference'!$A$7:$D$892,2,0))</f>
        <v>Leersia oryzoïdes</v>
      </c>
      <c r="E39" s="465" t="e">
        <f aca="false">IF(D39="",0,VLOOKUP(D39,D$22:D38,1,0))</f>
        <v>#N/A</v>
      </c>
      <c r="F39" s="472" t="n">
        <f aca="false">($B39*$B$7+$C39*$C$7)/100</f>
        <v>0.0058</v>
      </c>
      <c r="G39" s="467" t="str">
        <f aca="false">IF(A39="","",IF(ISERROR(VLOOKUP($A39,'liste reference'!$A$7:$P$892,13,0)),IF(ISERROR(VLOOKUP($A39,'liste reference'!$B$7:$P$892,12,0)),"    -",VLOOKUP($A39,'liste reference'!$B$7:$P$892,12,0)),VLOOKUP($A39,'liste reference'!$A$7:$P$892,13,0)))</f>
        <v>PHg</v>
      </c>
      <c r="H39" s="449" t="n">
        <f aca="false">IF(A39="","x",IF(ISERROR(VLOOKUP($A39,'liste reference'!$A$7:$P$892,14,0)),IF(ISERROR(VLOOKUP($A39,'liste reference'!$B$7:$P$892,13,0)),"x",VLOOKUP($A39,'liste reference'!$B$7:$P$892,13,0)),VLOOKUP($A39,'liste reference'!$A$7:$P$892,14,0)))</f>
        <v>9</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Leersia oryzoïdes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1569</v>
      </c>
      <c r="Q39" s="455" t="n">
        <f aca="false">IF(ISTEXT(H39),"",(B39*$B$7/100)+(C39*$C$7/100))</f>
        <v>0.0058</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LEEORY</v>
      </c>
      <c r="Z39" s="250" t="n">
        <f aca="false">IF(ISERROR(MATCH(A39,'liste reference'!$A$7:$A$892,0)),IF(ISERROR(MATCH(A39,'liste reference'!$B$7:$B$892,0)),"",(MATCH(A39,'liste reference'!$B$7:$B$892,0))),(MATCH(A39,'liste reference'!$A$7:$A$892,0)))</f>
        <v>409</v>
      </c>
      <c r="AA39" s="460"/>
      <c r="AB39" s="461"/>
      <c r="AC39" s="461"/>
      <c r="BC39" s="250" t="n">
        <f aca="false">IF(A39="","",1)</f>
        <v>1</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TARAVO</v>
      </c>
      <c r="B84" s="493" t="str">
        <f aca="false">C3</f>
        <v>Olivese (Forciolo)</v>
      </c>
      <c r="C84" s="494" t="n">
        <f aca="false">A4</f>
        <v>41080</v>
      </c>
      <c r="D84" s="495" t="n">
        <f aca="false">IF(ISERROR(SUM($T$23:$T$82)/SUM($U$23:$U$82)),"",SUM($T$23:$T$82)/SUM($U$23:$U$82))</f>
        <v>13.8387096774194</v>
      </c>
      <c r="E84" s="496" t="n">
        <f aca="false">N13</f>
        <v>17</v>
      </c>
      <c r="F84" s="493" t="n">
        <f aca="false">N14</f>
        <v>17</v>
      </c>
      <c r="G84" s="493" t="n">
        <f aca="false">N15</f>
        <v>4</v>
      </c>
      <c r="H84" s="493" t="n">
        <f aca="false">N16</f>
        <v>7</v>
      </c>
      <c r="I84" s="493" t="n">
        <f aca="false">N17</f>
        <v>1</v>
      </c>
      <c r="J84" s="497" t="n">
        <f aca="false">N8</f>
        <v>8.94117647058824</v>
      </c>
      <c r="K84" s="495" t="n">
        <f aca="false">N9</f>
        <v>6.42719406346282</v>
      </c>
      <c r="L84" s="496" t="n">
        <f aca="false">N10</f>
        <v>0</v>
      </c>
      <c r="M84" s="496" t="n">
        <f aca="false">N11</f>
        <v>16</v>
      </c>
      <c r="N84" s="495" t="n">
        <f aca="false">O8</f>
        <v>1.23529411764706</v>
      </c>
      <c r="O84" s="495" t="n">
        <f aca="false">O9</f>
        <v>0.970142500145332</v>
      </c>
      <c r="P84" s="496" t="n">
        <f aca="false">O10</f>
        <v>0</v>
      </c>
      <c r="Q84" s="496" t="n">
        <f aca="false">O11</f>
        <v>3</v>
      </c>
      <c r="R84" s="496" t="n">
        <f aca="false">F21</f>
        <v>2.10805</v>
      </c>
      <c r="S84" s="496" t="n">
        <f aca="false">K11</f>
        <v>0</v>
      </c>
      <c r="T84" s="496" t="n">
        <f aca="false">K12</f>
        <v>6</v>
      </c>
      <c r="U84" s="496" t="n">
        <f aca="false">K13</f>
        <v>4</v>
      </c>
      <c r="V84" s="498" t="n">
        <f aca="false">K14</f>
        <v>2</v>
      </c>
      <c r="W84" s="499" t="n">
        <f aca="false">K15</f>
        <v>5</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45</v>
      </c>
      <c r="T87" s="250"/>
      <c r="U87" s="250"/>
      <c r="V87" s="250"/>
    </row>
    <row r="88" customFormat="false" ht="12.75" hidden="true" customHeight="false" outlineLevel="0" collapsed="false">
      <c r="P88" s="250"/>
      <c r="Q88" s="250" t="s">
        <v>2688</v>
      </c>
      <c r="R88" s="250"/>
      <c r="S88" s="457" t="n">
        <f aca="false">VLOOKUP((S87),($S$23:$U$82),2,0)</f>
        <v>90</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13.56</v>
      </c>
      <c r="T90" s="250"/>
    </row>
    <row r="91" customFormat="false" ht="12.75" hidden="false" customHeight="false" outlineLevel="0" collapsed="false">
      <c r="Q91" s="456" t="s">
        <v>2691</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2692</v>
      </c>
      <c r="R92" s="250"/>
      <c r="S92" s="250" t="n">
        <f aca="false">MATCH(S87,$S$23:$S$82,0)</f>
        <v>4</v>
      </c>
      <c r="T92" s="250"/>
    </row>
    <row r="93" customFormat="false" ht="12.75" hidden="false" customHeight="false" outlineLevel="0" collapsed="false">
      <c r="Q93" s="456" t="s">
        <v>2693</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2715</v>
      </c>
      <c r="G18" s="541"/>
      <c r="H18" s="540" t="s">
        <v>2715</v>
      </c>
      <c r="I18" s="542"/>
    </row>
    <row r="19" customFormat="false" ht="12.75" hidden="false" customHeight="false" outlineLevel="0" collapsed="false">
      <c r="A19" s="529" t="s">
        <v>82</v>
      </c>
      <c r="B19" s="530" t="s">
        <v>83</v>
      </c>
      <c r="C19" s="532"/>
      <c r="D19" s="533"/>
      <c r="F19" s="540" t="s">
        <v>2625</v>
      </c>
      <c r="G19" s="541"/>
      <c r="H19" s="540" t="s">
        <v>2625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2718</v>
      </c>
      <c r="G22" s="541"/>
      <c r="H22" s="540" t="s">
        <v>2718</v>
      </c>
      <c r="I22" s="542"/>
    </row>
    <row r="23" customFormat="false" ht="12.75" hidden="false" customHeight="false" outlineLevel="0" collapsed="false">
      <c r="A23" s="529" t="s">
        <v>99</v>
      </c>
      <c r="B23" s="530" t="s">
        <v>2719</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2012-11-30T11:03:05Z</dcterms:modified>
  <cp:revision>0</cp:revision>
  <dc:subject/>
  <dc:title>Feuille d'aide au calcul de l'IBMR</dc:title>
</cp:coreProperties>
</file>