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7910" sheetId="6" state="visible" r:id="rId8"/>
    <sheet name="modele" sheetId="7" state="hidden" r:id="rId9"/>
    <sheet name="liste codes réf" sheetId="8" state="hidden" r:id="rId10"/>
  </sheets>
  <definedNames>
    <definedName function="false" hidden="false" localSheetId="5" name="_xlnm.Print_Area" vbProcedure="false">'06217910'!$A$1:$O$82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'06217910'!$A$23:$J$84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<sst xmlns="http://schemas.openxmlformats.org/spreadsheetml/2006/main" count="7359" uniqueCount="2730">
  <si>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</si>
  <si>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</si>
  <si>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</si>
  <si>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</si>
  <si>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</si>
  <si>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</si>
  <si>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</si>
  <si>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</si>
  <si>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</si>
  <si>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</si>
  <si>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</si>
  <si>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</si>
  <si>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</si>
  <si>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</si>
  <si>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</si>
  <si>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</si>
  <si>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</si>
  <si>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</si>
  <si>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</si>
  <si>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</si>
  <si>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</si>
  <si>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</si>
  <si>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</si>
  <si>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</si>
  <si>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</si>
  <si>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</si>
  <si>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</si>
  <si>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</si>
  <si>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</si>
  <si>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</si>
  <si>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</si>
  <si>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</si>
  <si>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</si>
  <si>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</si>
  <si>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</si>
  <si>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</si>
  <si>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</si>
  <si>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</si>
  <si>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</si>
  <si>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</si>
  <si>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</si>
  <si>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</si>
  <si>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</si>
  <si>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</si>
  <si>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</si>
  <si>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</si>
  <si>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</si>
  <si>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</si>
  <si>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</si>
  <si>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</si>
  <si>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</si>
  <si>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</si>
  <si>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</si>
  <si>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</si>
  <si>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</si>
  <si>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</si>
  <si>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</si>
  <si>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</si>
  <si>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</si>
  <si>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</si>
  <si>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</si>
  <si>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</si>
  <si>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</si>
  <si>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</si>
  <si>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</si>
  <si>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</si>
  <si>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</si>
  <si>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</si>
  <si>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</si>
  <si>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</si>
  <si>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</si>
  <si>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</si>
  <si>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</si>
  <si>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</si>
  <si>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</si>
  <si>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</si>
  <si>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</si>
  <si>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</si>
  <si>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</si>
  <si>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</si>
  <si>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</si>
  <si>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</si>
  <si>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</si>
  <si>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</si>
  <si>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</si>
  <si>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</si>
  <si>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</si>
  <si>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</si>
  <si>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</si>
  <si>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</si>
  <si>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</si>
  <si>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</si>
  <si>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</si>
  <si>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</si>
  <si>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</si>
  <si>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</si>
  <si>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</si>
  <si>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</si>
  <si>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</si>
  <si>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</si>
  <si>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</si>
  <si>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</si>
  <si>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</si>
  <si>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</si>
  <si>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</si>
  <si>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</si>
  <si>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</si>
  <si>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</si>
  <si>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</si>
  <si>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</si>
  <si>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</si>
  <si>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</si>
  <si>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</si>
  <si>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</si>
  <si>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</si>
  <si>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</si>
  <si>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</si>
  <si>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</si>
  <si>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</si>
  <si>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</si>
  <si>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</si>
  <si>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</si>
  <si>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</si>
  <si>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</si>
  <si>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</si>
  <si>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</si>
  <si>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</si>
  <si>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</si>
  <si>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</si>
  <si>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</si>
  <si>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</si>
  <si>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</si>
  <si>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</si>
  <si>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</si>
  <si>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</si>
  <si>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</si>
  <si>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</si>
  <si>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</si>
  <si>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</si>
  <si>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</si>
  <si>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</si>
  <si>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</si>
  <si>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</si>
  <si>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</si>
  <si>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</si>
  <si>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</si>
  <si>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</si>
  <si>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</si>
  <si>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</si>
  <si>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</si>
  <si>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</si>
  <si>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</si>
  <si>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</si>
  <si>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</si>
  <si>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</si>
  <si>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</si>
  <si>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</si>
  <si>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</si>
  <si>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</si>
  <si>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</si>
  <si>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</si>
  <si>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</si>
  <si>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</si>
  <si>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</si>
  <si>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</si>
  <si>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</si>
  <si>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</si>
  <si>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</si>
  <si>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</si>
  <si>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</si>
  <si>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</si>
  <si>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</si>
  <si>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</si>
  <si>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</si>
  <si>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</si>
  <si>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</si>
  <si>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</si>
  <si>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</si>
  <si>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</si>
  <si>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</si>
  <si>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</si>
  <si>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</si>
  <si>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</si>
  <si>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</si>
  <si>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</si>
  <si>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</si>
  <si>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</si>
  <si>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</si>
  <si>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</si>
  <si>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</si>
  <si>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</si>
  <si>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</si>
  <si>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</si>
  <si>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</si>
  <si>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</si>
  <si>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</si>
  <si>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</si>
  <si>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</si>
  <si>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</si>
  <si>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</si>
  <si>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</si>
  <si>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</si>
  <si>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</si>
  <si>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</si>
  <si>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</si>
  <si>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</si>
  <si>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</si>
  <si>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</si>
  <si>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</si>
  <si>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</si>
  <si>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</si>
  <si>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</si>
  <si>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</si>
  <si>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</si>
  <si>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</si>
  <si>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</si>
  <si>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</si>
  <si>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</si>
  <si>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</si>
  <si>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</si>
  <si>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</si>
  <si>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</si>
  <si>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</si>
  <si>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</si>
  <si>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</si>
  <si>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</si>
  <si>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</si>
  <si>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</si>
  <si>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</si>
  <si>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</si>
  <si>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</si>
  <si>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</si>
  <si>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</si>
  <si>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</si>
  <si>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</si>
  <si>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</si>
  <si>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</si>
  <si>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</si>
  <si>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</si>
  <si>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</si>
  <si>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</si>
  <si>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</si>
  <si>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</si>
  <si>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</si>
  <si>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</si>
  <si>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</si>
  <si>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</si>
  <si>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</si>
  <si>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</si>
  <si>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</si>
  <si>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</si>
  <si>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</si>
  <si>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</si>
  <si>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</si>
  <si>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</si>
  <si>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</si>
  <si>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</si>
  <si>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</si>
  <si>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</si>
  <si>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</si>
  <si>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</si>
  <si>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</si>
  <si>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</si>
  <si>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</si>
  <si>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</si>
  <si>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</si>
  <si>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</si>
  <si>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</si>
  <si>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</si>
  <si>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</si>
  <si>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</si>
  <si>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</si>
  <si>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</si>
  <si>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</si>
  <si>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</si>
  <si>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</si>
  <si>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</si>
  <si>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</si>
  <si>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</si>
  <si>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</si>
  <si>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</si>
  <si>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</si>
  <si>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</si>
  <si>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</si>
  <si>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</si>
  <si>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</si>
  <si>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</si>
  <si>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</si>
  <si>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</si>
  <si>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</si>
  <si>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</si>
  <si>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</si>
  <si>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</si>
  <si>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</si>
  <si>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</si>
  <si>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</si>
  <si>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</si>
  <si>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</si>
  <si>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</si>
  <si>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</si>
  <si>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</si>
  <si>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</si>
  <si>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</si>
  <si>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</si>
  <si>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</si>
  <si>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</si>
  <si>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</si>
  <si>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</si>
  <si>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</si>
  <si>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</si>
  <si>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</si>
  <si>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</si>
  <si>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</si>
  <si>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</si>
  <si>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</si>
  <si>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</si>
  <si>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</si>
  <si>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</si>
  <si>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</si>
  <si>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</si>
  <si>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</si>
  <si>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</si>
  <si>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</si>
  <si>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</si>
  <si>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</si>
  <si>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</si>
  <si>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</si>
  <si>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</si>
  <si>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</si>
  <si>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</si>
  <si>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</si>
  <si>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</si>
  <si>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</si>
  <si>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</si>
  <si>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</si>
  <si>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</si>
  <si>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</si>
  <si>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</si>
  <si>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</si>
  <si>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</si>
  <si>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</si>
  <si>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</si>
  <si>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</si>
  <si>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</si>
  <si>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</si>
  <si>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</si>
  <si>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</si>
  <si>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</si>
  <si>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</si>
  <si>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</si>
  <si>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</si>
  <si>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</si>
  <si>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</si>
  <si>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</si>
  <si>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</si>
  <si>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</si>
  <si>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</si>
  <si>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</si>
  <si>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</si>
  <si>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</si>
  <si>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</si>
  <si>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</si>
  <si>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</si>
  <si>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</si>
  <si>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</si>
  <si>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</si>
  <si>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</si>
  <si>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</si>
  <si>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</si>
  <si>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</si>
  <si>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</si>
  <si>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</si>
  <si>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</si>
  <si>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</si>
  <si>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</si>
  <si>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</si>
  <si>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</si>
  <si>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</si>
  <si>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</si>
  <si>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</si>
  <si>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</si>
  <si>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</si>
  <si>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</si>
  <si>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</si>
  <si>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</si>
  <si>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</si>
  <si>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</si>
  <si>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</si>
  <si>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</si>
  <si>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</si>
  <si>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</si>
  <si>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</si>
  <si>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</si>
  <si>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</si>
  <si>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</si>
  <si>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</si>
  <si>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</si>
  <si>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</si>
  <si>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</si>
  <si>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</si>
  <si>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</si>
  <si>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</si>
  <si>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</si>
  <si>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</si>
  <si>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</si>
  <si>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</si>
  <si>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</si>
  <si>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</si>
  <si>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</si>
  <si>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</si>
  <si>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</si>
  <si>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</si>
  <si>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</si>
  <si>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</si>
  <si>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</si>
  <si>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</si>
  <si>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</si>
  <si>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</si>
  <si>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</si>
  <si>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</si>
  <si>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</si>
  <si>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</si>
  <si>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</si>
  <si>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</si>
  <si>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</si>
  <si>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</si>
  <si>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</si>
  <si>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</si>
  <si>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</si>
  <si>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</si>
  <si>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</si>
  <si>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</si>
  <si>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</si>
  <si>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</si>
  <si>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</si>
  <si>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</si>
  <si>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</si>
  <si>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</si>
  <si>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</si>
  <si>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</si>
  <si>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</si>
  <si>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</si>
  <si>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</si>
  <si>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</si>
  <si>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</si>
  <si>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</si>
  <si>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</si>
  <si>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</si>
  <si>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</si>
  <si>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</si>
  <si>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</si>
  <si>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</si>
  <si>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</si>
  <si>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</si>
  <si>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</si>
  <si>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</si>
  <si>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</si>
  <si>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</si>
  <si>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</si>
  <si>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</si>
  <si>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</si>
  <si>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</si>
  <si>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</si>
  <si>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</si>
  <si>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</si>
  <si>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</si>
  <si>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</si>
  <si>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</si>
  <si>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</si>
  <si>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</si>
  <si>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</si>
  <si>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</si>
  <si>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</si>
  <si>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</si>
  <si>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</si>
  <si>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</si>
  <si>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</si>
  <si>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</si>
  <si>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</si>
  <si>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</si>
  <si>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</si>
  <si>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</si>
  <si>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</si>
  <si>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</si>
  <si>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</si>
  <si>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</si>
  <si>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</si>
  <si>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</si>
  <si>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</si>
  <si>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</si>
  <si>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</si>
  <si>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</si>
  <si>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</si>
  <si>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</si>
  <si>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</si>
  <si>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</si>
  <si>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</si>
  <si>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</si>
  <si>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</si>
  <si>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</si>
  <si>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</si>
  <si>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</si>
  <si>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</si>
  <si>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</si>
  <si>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</si>
  <si>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</si>
  <si>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</si>
  <si>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</si>
  <si>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</si>
  <si>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</si>
  <si>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</si>
  <si>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</si>
  <si>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</si>
  <si>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</si>
  <si>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</si>
  <si>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</si>
  <si>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</si>
  <si>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</si>
  <si>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</si>
  <si>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</si>
  <si>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</si>
  <si>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</si>
  <si>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</si>
  <si>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</si>
  <si>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</si>
  <si>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</si>
  <si>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</si>
  <si>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</si>
  <si>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</si>
  <si>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</si>
  <si>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</si>
  <si>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</si>
  <si>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</si>
  <si>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</si>
  <si>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</si>
  <si>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</si>
  <si>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</si>
  <si>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</si>
  <si>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</si>
  <si>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</si>
  <si>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</si>
  <si>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</si>
  <si>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</si>
  <si>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</si>
  <si>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</si>
  <si>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</si>
  <si>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</si>
  <si>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</si>
  <si>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</si>
  <si>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</si>
  <si>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</si>
  <si>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</si>
  <si>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</si>
  <si>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</si>
  <si>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</si>
  <si>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</si>
  <si>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</si>
  <si>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</si>
  <si>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</si>
  <si>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</si>
  <si>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</si>
  <si>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</si>
  <si>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</si>
  <si>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</si>
  <si>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</si>
  <si>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</si>
  <si>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</si>
  <si>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</si>
  <si>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</si>
  <si>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</si>
  <si>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</si>
  <si>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</si>
  <si>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</si>
  <si>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</si>
  <si>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</si>
  <si>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</si>
  <si>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</si>
  <si>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</si>
  <si>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</si>
  <si>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</si>
  <si>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</si>
  <si>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</si>
  <si>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</si>
  <si>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</si>
  <si>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</si>
  <si>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</si>
  <si>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</si>
  <si>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</si>
  <si>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</si>
  <si>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</si>
  <si>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</si>
  <si>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</si>
  <si>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</si>
  <si>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</si>
  <si>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</si>
  <si>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</si>
  <si>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</si>
  <si>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</si>
  <si>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</si>
  <si>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</si>
  <si>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</si>
  <si>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</si>
  <si>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</si>
  <si>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</si>
  <si>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</si>
  <si>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</si>
  <si>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</si>
  <si>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</si>
  <si>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</si>
  <si>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</si>
  <si>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</si>
  <si>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</si>
  <si>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</si>
  <si>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</si>
  <si>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</si>
  <si>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</si>
  <si>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</si>
  <si>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</si>
  <si>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</si>
  <si>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</si>
  <si>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</si>
  <si>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</si>
  <si>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</si>
  <si>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</si>
  <si>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</si>
  <si>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</si>
  <si>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</si>
  <si>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</si>
  <si>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</si>
  <si>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</si>
  <si>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</si>
  <si>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</si>
  <si>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</si>
  <si>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</si>
  <si>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</si>
  <si>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</si>
  <si>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</si>
  <si>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</si>
  <si>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</si>
  <si>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</si>
  <si>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</si>
  <si>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</si>
  <si>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</si>
  <si>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</si>
  <si>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</si>
  <si>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</si>
  <si>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</si>
  <si>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</si>
  <si>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</si>
  <si>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</si>
  <si>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</si>
  <si>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</si>
  <si>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</si>
  <si>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</si>
  <si>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</si>
  <si>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</si>
  <si>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</si>
  <si>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</si>
  <si>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</si>
  <si>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</si>
  <si>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</si>
  <si>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</si>
  <si>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</si>
  <si>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</si>
  <si>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</si>
  <si>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</si>
  <si>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</si>
  <si>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</si>
  <si>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</si>
  <si>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</si>
  <si>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</si>
  <si>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</si>
  <si>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</si>
  <si>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</si>
  <si>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</si>
  <si>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</si>
  <si>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</si>
  <si>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</si>
  <si>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</si>
  <si>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</si>
  <si>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</si>
  <si>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</si>
  <si>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</si>
  <si>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</si>
  <si>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</si>
  <si>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</si>
  <si>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</si>
  <si>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</si>
  <si>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</si>
  <si>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</si>
  <si>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</si>
  <si>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</si>
  <si>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</si>
  <si>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</si>
  <si>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</si>
  <si>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</si>
  <si>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</si>
  <si>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</si>
  <si>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</si>
  <si>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</si>
  <si>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</si>
  <si>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</si>
  <si>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</si>
  <si>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</si>
  <si>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</si>
  <si>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</si>
  <si>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</si>
  <si>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</si>
  <si>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</si>
  <si>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</si>
  <si>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</si>
  <si>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</si>
  <si>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</si>
  <si>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</si>
  <si>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</si>
  <si>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</si>
  <si>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</si>
  <si>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</si>
  <si>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</si>
  <si>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</si>
  <si>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</si>
  <si>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</si>
  <si>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</si>
  <si>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</si>
  <si>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</si>
  <si>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</si>
  <si>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</si>
  <si>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</si>
  <si>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</si>
  <si>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</si>
  <si>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</si>
  <si>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</si>
  <si>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</si>
  <si>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</si>
  <si>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</si>
  <si>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</si>
  <si>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</si>
  <si>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</si>
  <si>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</si>
  <si>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</si>
  <si>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</si>
  <si>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</si>
  <si>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</si>
  <si>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</si>
  <si>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</si>
  <si>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</si>
  <si>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</si>
  <si>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</si>
  <si>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</si>
  <si>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</si>
  <si>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</si>
  <si>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</si>
  <si>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</si>
  <si>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</si>
  <si>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</si>
  <si>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</si>
  <si>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</si>
  <si>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</si>
  <si>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</si>
  <si>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</si>
  <si>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</si>
  <si>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</si>
  <si>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</si>
  <si>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</si>
  <si>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</si>
  <si>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</si>
  <si>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</si>
  <si>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</si>
  <si>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</si>
  <si>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</si>
  <si>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</si>
  <si>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</si>
  <si>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</si>
  <si>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</si>
  <si>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</si>
  <si>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</si>
  <si>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</si>
  <si>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</si>
  <si>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</si>
  <si>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</si>
  <si>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</si>
  <si>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</si>
  <si>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</si>
  <si>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</si>
  <si>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</si>
  <si>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</si>
  <si>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</si>
  <si>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</si>
  <si>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</si>
  <si>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</si>
  <si>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</si>
  <si>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</si>
  <si>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</si>
  <si>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</si>
  <si>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</si>
  <si>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</si>
  <si>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</si>
  <si>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</si>
  <si>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</si>
  <si>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</si>
  <si>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</si>
  <si>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</si>
  <si>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</si>
  <si>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</si>
  <si>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</si>
  <si>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</si>
  <si>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</si>
  <si>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</si>
  <si>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</si>
  <si>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</si>
  <si>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</si>
  <si>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</si>
  <si>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</si>
  <si>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</si>
  <si>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</si>
  <si>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</si>
  <si>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</si>
  <si>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</si>
  <si>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</si>
  <si>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</si>
  <si>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</si>
  <si>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</si>
  <si>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</si>
  <si>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</si>
  <si>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</si>
  <si>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</si>
  <si>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</si>
  <si>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</si>
  <si>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</si>
  <si>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</si>
  <si>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</si>
  <si>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</si>
  <si>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</si>
  <si>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</si>
  <si>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</si>
  <si>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</si>
  <si>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</si>
  <si>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</si>
  <si>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</si>
  <si>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</si>
  <si>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</si>
  <si>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</si>
  <si>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</si>
  <si>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</si>
  <si>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</si>
  <si>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</si>
  <si>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</si>
  <si>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</si>
  <si>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</si>
  <si>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</si>
  <si>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</si>
  <si>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</si>
  <si>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</si>
  <si>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</si>
  <si>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</si>
  <si>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</si>
  <si>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</si>
  <si>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</si>
  <si>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</si>
  <si>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</si>
  <si>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</si>
  <si>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</si>
  <si>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</si>
  <si>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</si>
  <si>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</si>
  <si>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</si>
  <si>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</si>
  <si>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</si>
  <si>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</si>
  <si>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</si>
  <si>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</si>
  <si>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</si>
  <si>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</si>
  <si>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</si>
  <si>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</si>
  <si>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</si>
  <si>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</si>
  <si>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</si>
  <si>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</si>
  <si>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</si>
  <si>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</si>
  <si>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</si>
  <si>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</si>
  <si>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</si>
  <si>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</si>
  <si>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</si>
  <si>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</si>
  <si>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</si>
  <si>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</si>
  <si>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</si>
  <si>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</si>
  <si>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</si>
  <si>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</si>
  <si>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</si>
  <si>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</si>
  <si>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</si>
  <si>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</si>
  <si>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</si>
  <si>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</si>
  <si>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</si>
  <si>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</si>
  <si>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</si>
  <si>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</si>
  <si>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</si>
  <si>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</si>
  <si>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</si>
  <si>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</si>
  <si>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</si>
  <si>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</si>
  <si>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</si>
  <si>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</si>
  <si>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</si>
  <si>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</si>
  <si>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</si>
  <si>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</si>
  <si>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</si>
  <si>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</si>
  <si>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</si>
  <si>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</si>
  <si>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</si>
  <si>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</si>
  <si>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</si>
  <si>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</si>
  <si>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</si>
  <si>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</si>
  <si>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</si>
  <si>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</si>
  <si>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</si>
  <si>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</si>
  <si>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</si>
  <si>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</si>
  <si>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</si>
  <si>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</si>
  <si>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</si>
  <si>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</si>
  <si>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</si>
  <si>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</si>
  <si>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</si>
  <si>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</si>
  <si>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</si>
  <si>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</si>
  <si>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</si>
  <si>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</si>
  <si>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</si>
  <si>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</si>
  <si>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</si>
  <si>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</si>
  <si>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</si>
  <si>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</si>
  <si>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</si>
  <si>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</si>
  <si>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</si>
  <si>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</si>
  <si>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</si>
  <si>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</si>
  <si>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</si>
  <si>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</si>
  <si>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</si>
  <si>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</si>
  <si>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</si>
  <si>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</si>
  <si>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</si>
  <si>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</si>
  <si>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</si>
  <si>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</si>
  <si>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</si>
  <si>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</si>
  <si>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</si>
  <si>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</si>
  <si>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</si>
  <si>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</si>
  <si>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</si>
  <si>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</si>
  <si>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</si>
  <si>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</si>
  <si>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</si>
  <si>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</si>
  <si>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</si>
  <si>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</si>
  <si>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</si>
  <si>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</si>
  <si>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</si>
  <si>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</si>
  <si>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</si>
  <si>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</si>
  <si>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</si>
  <si>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</si>
  <si>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</si>
  <si>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</si>
  <si>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</si>
  <si>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</si>
  <si>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</si>
  <si>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</si>
  <si>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</si>
  <si>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</si>
  <si>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</si>
  <si>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</si>
  <si>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</si>
  <si>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</si>
  <si>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</si>
  <si>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</si>
  <si>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</si>
  <si>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</si>
  <si>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</si>
  <si>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</si>
  <si>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</si>
  <si>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</si>
  <si>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</si>
  <si>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</si>
  <si>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</si>
  <si>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</si>
  <si>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</si>
  <si>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</si>
  <si>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</si>
  <si>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</si>
  <si>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</si>
  <si>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</si>
  <si>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</si>
  <si>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</si>
  <si>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</si>
  <si>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</si>
  <si>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</si>
  <si>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</si>
  <si>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</si>
  <si>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</si>
  <si>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</si>
  <si>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</si>
  <si>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</si>
  <si>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</si>
  <si>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</si>
  <si>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</si>
  <si>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</si>
  <si>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</si>
  <si>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</si>
  <si>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</si>
  <si>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</si>
  <si>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</si>
  <si>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</si>
  <si>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</si>
  <si>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</si>
  <si>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</si>
  <si>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</si>
  <si>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</si>
  <si>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</si>
  <si>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</si>
  <si>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</si>
  <si>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</si>
  <si>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</si>
  <si>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</si>
  <si>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</si>
  <si>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</si>
  <si>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</si>
  <si>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</si>
  <si>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</si>
  <si>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</si>
  <si>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</si>
  <si>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</si>
  <si>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</si>
  <si>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</si>
  <si>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</si>
  <si>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</si>
  <si>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</si>
  <si>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</si>
  <si>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</si>
  <si>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</si>
  <si>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</si>
  <si>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</si>
  <si>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</si>
  <si>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</si>
  <si>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</si>
  <si>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</si>
  <si>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</si>
  <si>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</si>
  <si>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</si>
  <si>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</si>
  <si>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</si>
  <si>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</si>
  <si>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</si>
  <si>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</si>
  <si>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</si>
  <si>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</si>
  <si>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</si>
  <si>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</si>
  <si>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</si>
  <si>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</si>
  <si>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</si>
  <si>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</si>
  <si>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</si>
  <si>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</si>
  <si>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</si>
  <si>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</si>
  <si>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</si>
  <si>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</si>
  <si>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</si>
  <si>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</si>
  <si>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</si>
  <si>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</si>
  <si>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</si>
  <si>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</si>
  <si>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</si>
  <si>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</si>
  <si>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</si>
  <si>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</si>
  <si>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</si>
  <si>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</si>
  <si>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</si>
  <si>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</si>
  <si>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</si>
  <si>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</si>
  <si>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</si>
  <si>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</si>
  <si>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</si>
  <si>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</si>
  <si>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</si>
  <si>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</si>
  <si>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</si>
  <si>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</si>
  <si>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</si>
  <si>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</si>
  <si>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</si>
  <si>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</si>
  <si>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</si>
  <si>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</si>
  <si>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</si>
  <si>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</si>
  <si>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</si>
  <si>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</si>
  <si>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</si>
  <si>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</si>
  <si>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</si>
  <si>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</si>
  <si>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</si>
  <si>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</si>
  <si>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</si>
  <si>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</si>
  <si>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</si>
  <si>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</si>
  <si>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</si>
  <si>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</si>
  <si>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</si>
  <si>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</si>
  <si>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</si>
  <si>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</si>
  <si>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</si>
  <si>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</si>
  <si>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</si>
  <si>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</si>
  <si>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</si>
  <si>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</si>
  <si>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</si>
  <si>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</si>
  <si>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</si>
  <si>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</si>
  <si>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</si>
  <si>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</si>
  <si>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</si>
  <si>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</si>
  <si>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</si>
  <si>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</si>
  <si>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</si>
  <si>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</si>
  <si>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</si>
  <si>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</si>
  <si>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</si>
  <si>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</si>
  <si>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</si>
  <si>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</si>
  <si>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</si>
  <si>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</si>
  <si>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</si>
  <si>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</si>
  <si>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</si>
  <si>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</si>
  <si>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</si>
  <si>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</si>
  <si>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</si>
  <si>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</si>
  <si>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</si>
  <si>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</si>
  <si>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</si>
  <si>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</si>
  <si>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</si>
  <si>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</si>
  <si>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</si>
  <si>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</si>
  <si>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</si>
  <si>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</si>
  <si>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</si>
  <si>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</si>
  <si>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</si>
  <si>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</si>
  <si>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</si>
  <si>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</si>
  <si>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</si>
  <si>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</si>
  <si>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</si>
  <si>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</si>
  <si>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</si>
  <si>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</si>
  <si>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</si>
  <si>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</si>
  <si>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</si>
  <si>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</si>
  <si>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</si>
  <si>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</si>
  <si>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</si>
  <si>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</si>
  <si>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</si>
  <si>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</si>
  <si>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</si>
  <si>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</si>
  <si>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</si>
  <si>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</si>
  <si>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</si>
  <si>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</si>
  <si>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</si>
  <si>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</si>
  <si>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</si>
  <si>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</si>
  <si>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</si>
  <si>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</si>
  <si>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</si>
  <si>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</si>
  <si>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</si>
  <si>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</si>
  <si>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</si>
  <si>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</si>
  <si>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</si>
  <si>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</si>
  <si>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</si>
  <si>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</si>
  <si>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</si>
  <si>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</si>
  <si>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</si>
  <si>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</si>
  <si>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</si>
  <si>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</si>
  <si>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</si>
  <si>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</si>
  <si>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</si>
  <si>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</si>
  <si>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</si>
  <si>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</si>
  <si>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</si>
  <si>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</si>
  <si>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</si>
  <si>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</si>
  <si>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</si>
  <si>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</si>
  <si>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</si>
  <si>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</si>
  <si>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</si>
  <si>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</si>
  <si>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</si>
  <si>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</si>
  <si>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</si>
  <si>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</si>
  <si>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</si>
  <si>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</si>
  <si>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</si>
  <si>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</si>
  <si>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</si>
  <si>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</si>
  <si>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</si>
  <si>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</si>
  <si>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</si>
  <si>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</si>
  <si>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</si>
  <si>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</si>
  <si>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</si>
  <si>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</si>
  <si>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</si>
  <si>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</si>
  <si>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</si>
  <si>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</si>
  <si>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</si>
  <si>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</si>
  <si>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</si>
  <si>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</si>
  <si>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</si>
  <si>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</si>
  <si>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</si>
  <si>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</si>
  <si>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</si>
  <si>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</si>
  <si>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</si>
  <si>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</si>
  <si>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</si>
  <si>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</si>
  <si>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</si>
  <si>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</si>
  <si>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</si>
  <si>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</si>
  <si>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</si>
  <si>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</si>
  <si>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</si>
  <si>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</si>
  <si>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</si>
  <si>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</si>
  <si>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</si>
  <si>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</si>
  <si>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</si>
  <si>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</si>
  <si>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</si>
  <si>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</si>
  <si>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</si>
  <si>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</si>
  <si>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</si>
  <si>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</si>
  <si>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</si>
  <si>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</si>
  <si>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</si>
  <si>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</si>
  <si>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</si>
  <si>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</si>
  <si>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</si>
  <si>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</si>
  <si>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</si>
  <si>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</si>
  <si>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</si>
  <si>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</si>
  <si>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</si>
  <si>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</si>
  <si>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</si>
  <si>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</si>
  <si>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</si>
  <si>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</si>
  <si>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</si>
  <si>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</si>
  <si>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</si>
  <si>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</si>
  <si>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</si>
  <si>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</si>
  <si>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</si>
  <si>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</si>
  <si>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</si>
  <si>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</si>
  <si>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</si>
  <si>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</si>
  <si>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</si>
  <si>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</si>
  <si>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</si>
  <si>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</si>
  <si>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</si>
  <si>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</si>
  <si>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</si>
  <si>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</si>
  <si>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</si>
  <si>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</si>
  <si>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</si>
  <si>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</si>
  <si>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</si>
  <si>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</si>
  <si>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</si>
  <si>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</si>
  <si>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</si>
  <si>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</si>
  <si>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</si>
  <si>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</si>
  <si>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</si>
  <si>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</si>
  <si>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</si>
  <si>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</si>
  <si>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</si>
  <si>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</si>
  <si>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</si>
  <si>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</si>
  <si>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</si>
  <si>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</si>
  <si>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</si>
  <si>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</si>
  <si>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</si>
  <si>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</si>
  <si>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</si>
  <si>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</si>
  <si>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</si>
  <si>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</si>
  <si>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</si>
  <si>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</si>
  <si>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</si>
  <si>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</si>
  <si>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</si>
  <si>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</si>
  <si>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</si>
  <si>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</si>
  <si>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</si>
  <si>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</si>
  <si>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</si>
  <si>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</si>
  <si>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</si>
  <si>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</si>
  <si>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</si>
  <si>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</si>
  <si>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</si>
  <si>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</si>
  <si>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</si>
  <si>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</si>
  <si>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</si>
  <si>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</si>
  <si>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</si>
  <si>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</si>
  <si>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</si>
  <si>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</si>
  <si>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</si>
  <si>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</si>
  <si>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</si>
  <si>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</si>
  <si>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</si>
  <si>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</si>
  <si>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</si>
  <si>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</si>
  <si>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</si>
  <si>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</si>
  <si>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</si>
  <si>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</si>
  <si>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</si>
  <si>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</si>
  <si>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</si>
  <si>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</si>
  <si>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</si>
  <si>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</si>
  <si>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</si>
  <si>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</si>
  <si>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</si>
  <si>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</si>
  <si>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</si>
  <si>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</si>
  <si>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</si>
  <si>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</si>
  <si>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</si>
  <si>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</si>
  <si>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</si>
  <si>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</si>
  <si>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</si>
  <si>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</si>
  <si>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</si>
  <si>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</si>
  <si>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</si>
  <si>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</si>
  <si>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</si>
  <si>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</si>
  <si>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</si>
  <si>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</si>
  <si>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</si>
  <si>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</si>
  <si>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</si>
  <si>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</si>
  <si>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</si>
  <si>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</si>
  <si>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</si>
  <si>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</si>
  <si>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</si>
  <si>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</si>
  <si>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</si>
  <si>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</si>
  <si>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</si>
  <si>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</si>
  <si>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</si>
  <si>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</si>
  <si>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</si>
  <si>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</si>
  <si>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</si>
  <si>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</si>
  <si>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</si>
  <si>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</si>
  <si>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</si>
  <si>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</si>
  <si>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</si>
  <si>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</si>
  <si>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</si>
  <si>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</si>
  <si>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</si>
  <si>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</si>
  <si>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</si>
  <si>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</si>
  <si>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</si>
  <si>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</si>
  <si>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</si>
  <si>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</si>
  <si>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</si>
  <si>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</si>
  <si>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</si>
  <si>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</si>
  <si>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</si>
  <si>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</si>
  <si>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</si>
  <si>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</si>
  <si>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</si>
  <si>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</si>
  <si>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</si>
  <si>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</si>
  <si>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</si>
  <si>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</si>
  <si>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</si>
  <si>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</si>
  <si>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</si>
  <si>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</si>
  <si>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</si>
  <si>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</si>
  <si>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</si>
  <si>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</si>
  <si>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</si>
  <si>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</si>
  <si>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</si>
  <si>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</si>
  <si>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</si>
  <si>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</si>
  <si>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</si>
  <si>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</si>
  <si>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</si>
  <si>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</si>
  <si>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</si>
  <si>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</si>
  <si>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</si>
  <si>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</si>
  <si>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</si>
  <si>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</si>
  <si>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</si>
  <si>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</si>
  <si>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</si>
  <si>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</si>
  <si>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</si>
  <si>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</si>
  <si>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</si>
  <si>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</si>
  <si>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</si>
  <si>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</si>
  <si>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</si>
  <si>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</si>
  <si>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</si>
  <si>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</si>
  <si>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</si>
  <si>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</si>
  <si>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</si>
  <si>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</si>
  <si>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</si>
  <si>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</si>
  <si>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</si>
  <si>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</si>
  <si>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</si>
  <si>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</si>
  <si>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</si>
  <si>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</si>
  <si>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</si>
  <si>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</si>
  <si>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</si>
  <si>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</si>
  <si>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</si>
  <si>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</si>
  <si>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</si>
  <si>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</si>
  <si>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</si>
  <si>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</si>
  <si>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</si>
  <si>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</si>
  <si>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</si>
  <si>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</si>
  <si>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</si>
  <si>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</si>
  <si>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</si>
  <si>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</si>
  <si>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</si>
  <si>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</si>
  <si>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</si>
  <si>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</si>
  <si>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</si>
  <si>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</si>
  <si>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</si>
  <si>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</si>
  <si>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</si>
  <si>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</si>
  <si>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</si>
  <si>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</si>
  <si>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</si>
  <si>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</si>
  <si>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</si>
  <si>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</si>
  <si>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</si>
  <si>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</si>
  <si>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</si>
  <si>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</si>
  <si>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</si>
  <si>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</si>
  <si>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</si>
  <si>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</si>
  <si>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</si>
  <si>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</si>
  <si>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</si>
  <si>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</si>
  <si>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</si>
  <si>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</si>
  <si>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</si>
  <si>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</si>
  <si>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</si>
  <si>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</si>
  <si>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</si>
  <si>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</si>
  <si>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</si>
  <si>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</si>
  <si>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</si>
  <si>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</si>
  <si>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</si>
  <si>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</si>
  <si>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</si>
  <si>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</si>
  <si>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</si>
  <si>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</si>
  <si>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</si>
  <si>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</si>
  <si>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</si>
  <si>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</si>
  <si>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</si>
  <si>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</si>
  <si>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</si>
  <si>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</si>
  <si>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</si>
  <si>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</si>
  <si>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</si>
  <si>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</si>
  <si>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</si>
  <si>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</si>
  <si>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</si>
  <si>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</si>
  <si>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</si>
  <si>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</si>
  <si>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</si>
  <si>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</si>
  <si>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</si>
  <si>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</si>
  <si>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</si>
  <si>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</si>
  <si>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</si>
  <si>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</si>
  <si>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</si>
  <si>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</si>
  <si>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</si>
  <si>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</si>
  <si>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</si>
  <si>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</si>
  <si>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</si>
  <si>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</si>
  <si>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</si>
  <si>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</si>
  <si>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</si>
  <si>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</si>
  <si>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</si>
  <si>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</si>
  <si>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</si>
  <si>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</si>
  <si>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</si>
  <si>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</si>
  <si>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</si>
  <si>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</si>
  <si>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</si>
  <si>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</si>
  <si>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</si>
  <si>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</si>
  <si>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</si>
  <si>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</si>
  <si>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</si>
  <si>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</si>
  <si>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</si>
  <si>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</si>
  <si>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</si>
  <si>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</si>
  <si>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</si>
  <si>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</si>
  <si>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</si>
  <si>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</si>
  <si>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</si>
  <si>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</si>
  <si>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</si>
  <si>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</si>
  <si>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</si>
  <si>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</si>
  <si>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</si>
  <si>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</si>
  <si>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</si>
  <si>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</si>
  <si>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</si>
  <si>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</si>
  <si>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</si>
  <si>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</si>
  <si>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</si>
  <si>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</si>
  <si>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</si>
  <si>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</si>
  <si>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</si>
  <si>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</si>
  <si>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</si>
  <si>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</si>
  <si>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</si>
  <si>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</si>
  <si>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</si>
  <si>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</si>
  <si>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</si>
  <si>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</si>
  <si>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</si>
  <si>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</si>
  <si>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</si>
  <si>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</si>
  <si>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</si>
  <si>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</si>
  <si>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</si>
  <si>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</si>
  <si>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</si>
  <si>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</si>
  <si>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</si>
  <si>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</si>
  <si>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</si>
  <si>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</si>
  <si>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</si>
  <si>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</si>
  <si>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</si>
  <si>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</si>
  <si>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</si>
  <si>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</si>
  <si>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</si>
  <si>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</si>
  <si>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</si>
  <si>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</si>
  <si>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</si>
  <si>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</si>
  <si>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</si>
  <si>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</si>
  <si>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</si>
  <si>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</si>
  <si>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</si>
  <si>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</si>
  <si>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</si>
  <si>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</si>
  <si>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</si>
  <si>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</si>
  <si>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</si>
  <si>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</si>
  <si>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</si>
  <si>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</si>
  <si>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</si>
  <si>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</si>
  <si>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</si>
  <si>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</si>
  <si>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</si>
  <si>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</si>
  <si>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</si>
  <si>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</si>
  <si>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</si>
  <si>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</si>
  <si>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</si>
  <si>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</si>
  <si>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</si>
  <si>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</si>
  <si>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</si>
  <si>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</si>
  <si>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</si>
  <si>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</si>
  <si>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</si>
  <si>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</si>
  <si>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</si>
  <si>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</si>
  <si>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</si>
  <si>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</si>
  <si>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</si>
  <si>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</si>
  <si>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</si>
  <si>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</si>
  <si>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</si>
  <si>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</si>
  <si>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</si>
  <si>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</si>
  <si>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</si>
  <si>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</si>
  <si>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</si>
  <si>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</si>
  <si>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</si>
  <si>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</si>
  <si>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</si>
  <si>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</si>
  <si>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</si>
  <si>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</si>
  <si>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</si>
  <si>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</si>
  <si>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</si>
  <si>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</si>
  <si>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</si>
  <si>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</si>
  <si>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</si>
  <si>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</si>
  <si>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</si>
  <si>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</si>
  <si>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</si>
  <si>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</si>
  <si>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</si>
  <si>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</si>
  <si>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</si>
  <si>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</si>
  <si>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</si>
  <si>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</si>
  <si>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</si>
  <si>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</si>
  <si>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</si>
  <si>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</si>
  <si>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</si>
  <si>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</si>
  <si>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</si>
  <si>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</si>
  <si>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</si>
  <si>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</si>
  <si>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</si>
  <si>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</si>
  <si>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</si>
  <si>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</si>
  <si>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</si>
  <si>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</si>
  <si>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</si>
  <si>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</si>
  <si>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</si>
  <si>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</si>
  <si>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</si>
  <si>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</si>
  <si>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</si>
  <si>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</si>
  <si>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</si>
  <si>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</si>
  <si>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</si>
  <si>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</si>
  <si>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</si>
  <si>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</si>
  <si>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</si>
  <si>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</si>
  <si>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</si>
  <si>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</si>
  <si>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</si>
  <si>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</si>
  <si>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</si>
  <si>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</si>
  <si>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</si>
  <si>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</si>
  <si>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</si>
  <si>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</si>
  <si>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</si>
  <si>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</si>
  <si>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</si>
  <si>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</si>
  <si>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</si>
  <si>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</si>
  <si>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</si>
  <si>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</si>
  <si>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</si>
  <si>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</si>
  <si>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</si>
  <si>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</si>
  <si>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</si>
  <si>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</si>
  <si>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</si>
  <si>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</si>
  <si>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</si>
  <si>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</si>
  <si>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</si>
  <si>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</si>
  <si>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</si>
  <si>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</si>
  <si>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</si>
  <si>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</si>
  <si>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</si>
  <si>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</si>
  <si>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</si>
  <si>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</si>
  <si>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</si>
  <si>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</si>
  <si>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</si>
  <si>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</si>
  <si>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</si>
  <si>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</si>
  <si>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</si>
  <si>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</si>
  <si>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</si>
  <si>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</si>
  <si>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</si>
  <si>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</si>
  <si>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</si>
  <si>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</si>
  <si>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</si>
  <si>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</si>
  <si>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</si>
  <si>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</si>
  <si>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</si>
  <si>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</si>
  <si>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</si>
  <si>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</si>
  <si>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</si>
  <si>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</si>
  <si>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</si>
  <si>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</si>
  <si>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</si>
  <si>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</si>
  <si>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</si>
  <si>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</si>
  <si>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</si>
  <si>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</si>
  <si>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</si>
  <si>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</si>
  <si>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</si>
  <si>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</si>
  <si>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</si>
  <si>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</si>
  <si>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</si>
  <si>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</si>
  <si>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</si>
  <si>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</si>
  <si>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</si>
  <si>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</si>
  <si>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</si>
  <si>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</si>
  <si>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</si>
  <si>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</si>
  <si>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</si>
  <si>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</si>
  <si>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</si>
  <si>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</si>
  <si>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</si>
  <si>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</si>
  <si>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</si>
  <si>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</si>
  <si>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</si>
  <si>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</si>
  <si>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</si>
  <si>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</si>
  <si>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</si>
  <si>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</si>
  <si>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</si>
  <si>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</si>
  <si>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</si>
  <si>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</si>
  <si>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</si>
  <si>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</si>
  <si>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</si>
  <si>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</si>
  <si>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</si>
  <si>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</si>
  <si>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</si>
  <si>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</si>
  <si>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</si>
  <si>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</si>
  <si>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</si>
  <si>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</si>
  <si>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</si>
  <si>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</si>
  <si>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</si>
  <si>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</si>
  <si>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</si>
  <si>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</si>
  <si>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</si>
  <si>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</si>
  <si>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</si>
  <si>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</si>
  <si>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</si>
  <si>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</si>
  <si>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</si>
  <si>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</si>
  <si>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</si>
  <si>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</si>
  <si>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</si>
  <si>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</si>
  <si>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</si>
  <si>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</si>
  <si>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</si>
  <si>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</si>
  <si>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</si>
  <si>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</si>
  <si>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</si>
  <si>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</si>
  <si>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</si>
  <si>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</si>
  <si>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</si>
  <si>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</si>
  <si>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</si>
  <si>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</si>
  <si>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</si>
  <si>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</si>
  <si>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</si>
  <si>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</si>
  <si>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</si>
  <si>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</si>
  <si>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</si>
  <si>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</si>
  <si>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</si>
  <si>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</si>
  <si>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</si>
  <si>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</si>
  <si>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</si>
  <si>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</si>
  <si>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</si>
  <si>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</si>
  <si>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</si>
  <si>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</si>
  <si>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</si>
  <si>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</si>
  <si>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</si>
  <si>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</si>
  <si>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</si>
  <si>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</si>
  <si>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</si>
  <si>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</si>
  <si>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</si>
  <si>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</si>
  <si>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</si>
  <si>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</si>
  <si>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</si>
  <si>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</si>
  <si>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</si>
  <si>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</si>
  <si>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</si>
  <si>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</si>
  <si>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</si>
  <si>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</si>
  <si>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</si>
  <si>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</si>
  <si>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</si>
  <si>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</si>
  <si>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</si>
  <si>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</si>
  <si>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</si>
  <si>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</si>
  <si>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</si>
  <si>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</si>
  <si>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</si>
  <si>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</si>
  <si>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</si>
  <si>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</si>
  <si>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</si>
  <si>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</si>
  <si>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</si>
  <si>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</si>
  <si>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</si>
  <si>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</si>
  <si>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</si>
  <si>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</si>
  <si>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</si>
  <si>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</si>
  <si>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</si>
  <si>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</si>
  <si>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</si>
  <si>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</si>
  <si>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</si>
  <si>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</si>
  <si>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</si>
  <si>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</si>
  <si>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</si>
  <si>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</si>
  <si>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</si>
  <si>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</si>
  <si>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</si>
  <si>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</si>
  <si>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</si>
  <si>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</si>
  <si>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</si>
  <si>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</si>
  <si>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</si>
  <si>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</si>
  <si>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</si>
  <si>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</si>
  <si>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</si>
  <si>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</si>
  <si>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</si>
  <si>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</si>
  <si>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</si>
  <si>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</si>
  <si>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</si>
  <si>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</si>
  <si>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</si>
  <si>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</si>
  <si>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</si>
  <si>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</si>
  <si>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</si>
  <si>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</si>
  <si>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</si>
  <si>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</si>
  <si>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</si>
  <si>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</si>
  <si>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</si>
  <si>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</si>
  <si>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</si>
  <si>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</si>
  <si>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</si>
  <si>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</si>
  <si>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</si>
  <si>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</si>
  <si>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</si>
  <si>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</si>
  <si>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</si>
  <si>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</si>
  <si>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</si>
  <si>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</si>
  <si>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</si>
  <si>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</si>
  <si>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</si>
  <si>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</si>
  <si>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</si>
  <si>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</si>
  <si>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</si>
  <si>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</si>
  <si>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</si>
  <si>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</si>
  <si>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</si>
  <si>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</si>
  <si>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</si>
  <si>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</si>
  <si>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</si>
  <si>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</si>
  <si>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</si>
  <si>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</si>
  <si>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</si>
  <si>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</si>
  <si>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</si>
  <si>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</si>
  <si>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</si>
  <si>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</si>
  <si>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</si>
  <si>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</si>
  <si>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</si>
  <si>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</si>
  <si>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</si>
  <si>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</si>
  <si>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</si>
  <si>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</si>
  <si>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</si>
  <si>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</si>
  <si>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</si>
  <si>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</si>
  <si>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</si>
  <si>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</si>
  <si>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</si>
  <si>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</si>
  <si>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</si>
  <si>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</si>
  <si>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</si>
  <si>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</si>
  <si>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</si>
  <si>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</si>
  <si>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</si>
  <si>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</si>
  <si>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</si>
  <si>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</si>
  <si>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</si>
  <si>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</si>
  <si>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</si>
  <si>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</si>
  <si>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</si>
  <si>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</si>
  <si>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</si>
  <si>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</si>
  <si>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</si>
  <si>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</si>
  <si>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</si>
  <si>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</si>
  <si>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</si>
  <si>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</si>
  <si>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</si>
  <si>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</si>
  <si>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</si>
  <si>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</si>
  <si>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</si>
  <si>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</si>
  <si>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</si>
  <si>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</si>
  <si>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</si>
  <si>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</si>
  <si>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</si>
  <si>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</si>
  <si>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</si>
  <si>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</si>
  <si>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</si>
  <si>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</si>
  <si>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</si>
  <si>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</si>
  <si>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</si>
  <si>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</si>
  <si>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</si>
  <si>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</si>
  <si>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</si>
  <si>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</si>
  <si>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</si>
  <si>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</si>
  <si>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</si>
  <si>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</si>
  <si>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</si>
  <si>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</si>
  <si>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</si>
  <si>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</si>
  <si>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</si>
  <si>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</si>
  <si>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</si>
  <si>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</si>
  <si>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</si>
  <si>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</si>
  <si>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</si>
  <si>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</si>
  <si>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</si>
  <si>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</si>
  <si>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</si>
  <si>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</si>
  <si>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</si>
  <si>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</si>
  <si>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</si>
  <si>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</si>
  <si>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</si>
  <si>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</si>
  <si>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</si>
  <si>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</si>
  <si>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</si>
  <si>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</si>
  <si>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</si>
  <si>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</si>
  <si>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</si>
  <si>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</si>
  <si>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</si>
  <si>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</si>
  <si>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</si>
  <si>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</si>
  <si>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</si>
  <si>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</si>
  <si>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</si>
  <si>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</si>
  <si>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</si>
  <si>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</si>
  <si>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</si>
  <si>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</si>
  <si>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</si>
  <si>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</si>
  <si>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</si>
  <si>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</si>
  <si>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</si>
  <si>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</si>
  <si>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</si>
  <si>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</si>
  <si>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</si>
  <si>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</si>
  <si>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</si>
  <si>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</si>
  <si>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</si>
  <si>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</si>
  <si>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</si>
  <si>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</si>
  <si>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</si>
  <si>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</si>
  <si>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</si>
  <si>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</si>
  <si>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</si>
  <si>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</si>
  <si>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</si>
  <si>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</si>
  <si>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</si>
  <si>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</si>
  <si>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</si>
  <si>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</si>
  <si>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</si>
  <si>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</si>
  <si>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</si>
  <si>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</si>
  <si>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</si>
  <si>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</si>
  <si>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</si>
  <si>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</si>
  <si>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</si>
  <si>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</si>
  <si>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</si>
  <si>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</si>
  <si>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</si>
  <si>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</si>
  <si>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</si>
  <si>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</si>
  <si>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</si>
  <si>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</si>
  <si>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</si>
  <si>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</si>
  <si>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</si>
  <si>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</si>
  <si>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</si>
  <si>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</si>
  <si>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</si>
  <si>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</si>
  <si>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</si>
  <si>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</si>
  <si>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</si>
  <si>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</si>
  <si>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</si>
  <si>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</si>
  <si>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</si>
  <si>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</si>
  <si>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</si>
  <si>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</si>
  <si>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</si>
  <si>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</si>
  <si>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</si>
  <si>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</si>
  <si>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</si>
  <si>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</si>
  <si>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</si>
  <si>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</si>
  <si>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</si>
  <si>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</si>
  <si>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</si>
  <si>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</si>
  <si>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</si>
  <si>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</si>
  <si>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</si>
  <si>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</si>
  <si>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</si>
  <si>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</si>
  <si>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</si>
  <si>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</si>
  <si>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</si>
  <si>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</si>
  <si>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</si>
  <si>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</si>
  <si>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</si>
  <si>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</si>
  <si>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</si>
  <si>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</si>
  <si>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</si>
  <si>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</si>
  <si>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</si>
  <si>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</si>
  <si>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</si>
  <si>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</si>
  <si>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</si>
  <si>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</si>
  <si>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</si>
  <si>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</si>
  <si>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</si>
  <si>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</si>
  <si>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</si>
  <si>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</si>
  <si>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</si>
  <si>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</si>
  <si>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</si>
  <si>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</si>
  <si>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</si>
  <si>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</si>
  <si>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</si>
  <si>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</si>
  <si>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</si>
  <si>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</si>
  <si>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</si>
  <si>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</si>
  <si>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</si>
  <si>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</si>
  <si>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</si>
  <si>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</si>
  <si>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</si>
  <si>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</si>
  <si>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</si>
  <si>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</si>
  <si>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</si>
  <si>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</si>
  <si>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</si>
  <si>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</si>
  <si>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</si>
  <si>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</si>
  <si>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</si>
  <si>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</si>
  <si>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</si>
  <si>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</si>
  <si>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</si>
  <si>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</si>
  <si>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</si>
  <si>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</si>
  <si>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</si>
  <si>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</si>
  <si>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</si>
  <si>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</si>
  <si>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</si>
  <si>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</si>
  <si>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</si>
  <si>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</si>
  <si>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</si>
  <si>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</si>
  <si>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</si>
  <si>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</si>
  <si>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</si>
  <si>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</si>
  <si>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</si>
  <si>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</si>
  <si>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</si>
  <si>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</si>
  <si>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</si>
  <si>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</si>
  <si>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</si>
  <si>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</si>
  <si>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</si>
  <si>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</si>
  <si>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</si>
  <si>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</si>
  <si>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</si>
  <si>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</si>
  <si>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</si>
  <si>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</si>
  <si>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</si>
  <si>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</si>
  <si>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</si>
  <si>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</si>
  <si>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</si>
  <si>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</si>
  <si>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</si>
  <si>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</si>
  <si>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</si>
  <si>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</si>
  <si>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</si>
  <si>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</si>
  <si>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</si>
  <si>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</si>
  <si>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</si>
  <si>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</si>
  <si>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</si>
  <si>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</si>
  <si>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</si>
  <si>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</si>
  <si>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</si>
  <si>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</si>
  <si>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</si>
  <si>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</si>
  <si>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</si>
  <si>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</si>
  <si>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</si>
  <si>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</si>
  <si>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</si>
  <si>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</si>
  <si>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</si>
  <si>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</si>
  <si>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</si>
  <si>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</si>
  <si>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</si>
  <si>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</si>
  <si>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</si>
  <si>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</si>
  <si>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</si>
  <si>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</si>
  <si>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</si>
  <si>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</si>
  <si>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</si>
  <si>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</si>
  <si>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</si>
  <si>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</si>
  <si>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</si>
  <si>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</si>
  <si>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</si>
  <si>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</si>
  <si>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</si>
  <si>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</si>
  <si>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</si>
  <si>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</si>
  <si>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</si>
  <si>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</si>
  <si>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</si>
  <si>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</si>
  <si>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</si>
  <si>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</si>
  <si>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</si>
  <si>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</si>
  <si>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</si>
  <si>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</si>
  <si>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</si>
  <si>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</si>
  <si>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</si>
  <si>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</si>
  <si>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</si>
  <si>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</si>
  <si>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</si>
  <si>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</si>
  <si>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</si>
  <si>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</si>
  <si>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</si>
  <si>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</si>
  <si>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</si>
  <si>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</si>
  <si>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</si>
  <si>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</si>
  <si>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</si>
  <si>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</si>
  <si>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</si>
  <si>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</si>
  <si>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</si>
  <si>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</si>
  <si>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</si>
  <si>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</si>
  <si>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</si>
  <si>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</si>
  <si>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</si>
  <si>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</si>
  <si>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</si>
  <si>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</si>
  <si>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</si>
  <si>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</si>
  <si>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</si>
  <si>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</si>
  <si>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</si>
  <si>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</si>
  <si>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</si>
  <si>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</si>
  <si>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</si>
  <si>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</si>
  <si>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</si>
  <si>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</si>
  <si>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</si>
  <si>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</si>
  <si>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</si>
  <si>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</si>
  <si>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</si>
  <si>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</si>
  <si>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</si>
  <si>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</si>
  <si>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</si>
  <si>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</si>
  <si>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</si>
  <si>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</si>
  <si>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</si>
  <si>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</si>
  <si>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</si>
  <si>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</si>
  <si>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</si>
  <si>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</si>
  <si>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</si>
  <si>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</si>
  <si>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</si>
  <si>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</si>
  <si>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</si>
  <si>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</si>
  <si>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</si>
  <si>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</si>
  <si>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</si>
  <si>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</si>
  <si>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</si>
  <si>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</si>
  <si>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</si>
  <si>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</si>
  <si>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</si>
  <si>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</si>
  <si>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</si>
  <si>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</si>
  <si>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</si>
  <si>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</si>
  <si>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</si>
  <si>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</si>
  <si>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</si>
  <si>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</si>
  <si>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</si>
  <si>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</si>
  <si>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</si>
  <si>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</si>
  <si>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</si>
  <si>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</si>
  <si>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</si>
  <si>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</si>
  <si>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</si>
  <si>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</si>
  <si>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</si>
  <si>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</si>
  <si>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</si>
  <si>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</si>
  <si>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</si>
  <si>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</si>
  <si>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</si>
  <si>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</si>
  <si>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</si>
  <si>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</si>
  <si>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</si>
  <si>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</si>
  <si>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</si>
  <si>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</si>
  <si>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</si>
  <si>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</si>
  <si>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</si>
  <si>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</si>
  <si>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</si>
  <si>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</si>
  <si>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</si>
  <si>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</si>
  <si>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</si>
  <si>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</si>
  <si>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</si>
  <si>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</si>
  <si>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</si>
  <si>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</si>
  <si>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</si>
  <si>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</si>
  <si>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</si>
  <si>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</si>
  <si>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</si>
  <si>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</si>
  <si>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</si>
  <si>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</si>
  <si>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</si>
  <si>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</si>
  <si>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</si>
  <si>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</si>
  <si>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</si>
  <si>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</si>
  <si>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</si>
  <si>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</si>
  <si>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</si>
  <si>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</si>
  <si>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</si>
  <si>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</si>
  <si>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</si>
  <si>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</si>
  <si>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</si>
  <si>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</si>
  <si>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</si>
  <si>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</si>
  <si>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</si>
  <si>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</si>
  <si>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</si>
  <si>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</si>
  <si>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Saint Antoine</t>
  </si>
  <si>
    <t xml:space="preserve">Zonza</t>
  </si>
  <si>
    <t xml:space="preserve">06217910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</si>
  <si>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</si>
  <si>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</si>
  <si>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</si>
  <si>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</si>
  <si>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</si>
  <si>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</si>
  <si>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</si>
  <si>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</si>
  <si>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</si>
  <si>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</si>
  <si>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</si>
  <si>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</si>
  <si>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</si>
  <si>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</si>
  <si>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</si>
  <si>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</si>
  <si>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</si>
  <si>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</si>
  <si>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</si>
  <si>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</si>
  <si>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</si>
  <si>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</si>
  <si>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</si>
  <si>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</si>
  <si>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</si>
  <si>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</si>
  <si>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</si>
  <si>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</si>
  <si>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</si>
  <si>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</si>
  <si>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</si>
  <si>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</si>
  <si>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</si>
  <si>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</si>
  <si>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</si>
  <si>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</si>
  <si>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</si>
  <si>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</si>
  <si>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</si>
  <si>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</si>
  <si>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</si>
  <si>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</si>
  <si>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</si>
  <si>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</si>
  <si>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</si>
  <si>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</si>
  <si>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</si>
  <si>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</si>
  <si>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</si>
  <si>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</si>
  <si>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(1,30075 %)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</si>
  <si>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</si>
  <si>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</si>
  <si>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</si>
  <si>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</si>
  <si>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</si>
  <si>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</si>
  <si>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</si>
  <si>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</si>
  <si>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</si>
  <si>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</si>
  <si>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</si>
  <si>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</si>
  <si>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</si>
  <si>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</si>
  <si>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</si>
  <si>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</si>
  <si>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</si>
  <si>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</si>
  <si>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</si>
  <si>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</si>
  <si>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Hypericum hircinum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</si>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</sst>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64" fontId="89" fillId="0" borderId="0" xfId="0" applyFont="true" applyBorder="true" applyAlignment="true" applyProtection="true">
      <alignment horizontal="center" vertical="center"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13.4516129032258</v>
      </c>
      <c r="M5" s="323"/>
      <c r="N5" s="324" t="s">
        <v>154</v>
      </c>
      <c r="O5" s="325" t="n">
        <v>13.2222222222222</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45</v>
      </c>
      <c r="C7" s="337" t="n">
        <v>55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9.6</v>
      </c>
      <c r="O8" s="354" t="n">
        <f aca="false">IF(ISERROR(AVERAGE(J23:J82)),"      -",AVERAGE(J23:J82))</f>
        <v>1.25</v>
      </c>
      <c r="P8" s="355"/>
      <c r="Q8" s="280"/>
      <c r="R8" s="280"/>
      <c r="S8" s="280"/>
      <c r="T8" s="280"/>
      <c r="U8" s="280"/>
      <c r="V8" s="280"/>
      <c r="W8" s="292"/>
      <c r="X8" s="293"/>
    </row>
    <row r="9" customFormat="false" ht="13.5" hidden="false" customHeight="false" outlineLevel="0" collapsed="false">
      <c r="A9" s="313" t="s">
        <v>2635</v>
      </c>
      <c r="B9" s="356" t="n">
        <v>2</v>
      </c>
      <c r="C9" s="357" t="n">
        <v>0.75</v>
      </c>
      <c r="D9" s="358"/>
      <c r="E9" s="358"/>
      <c r="F9" s="359" t="n">
        <f aca="false">($B9*$B$7+$C9*$C$7)/100</f>
        <v>1.3125</v>
      </c>
      <c r="G9" s="360"/>
      <c r="H9" s="361"/>
      <c r="I9" s="362"/>
      <c r="J9" s="363"/>
      <c r="K9" s="343"/>
      <c r="L9" s="364"/>
      <c r="M9" s="353" t="s">
        <v>2636</v>
      </c>
      <c r="N9" s="354" t="n">
        <f aca="false">IF(ISERROR(STDEVP(I23:I82)),"     -",STDEVP(I23:I82))</f>
        <v>5.85149553533112</v>
      </c>
      <c r="O9" s="354" t="n">
        <f aca="false">IF(ISERROR(STDEVP(J23:J82)),"      -",STDEVP(J23:J82))</f>
        <v>0.887411967464942</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9</v>
      </c>
      <c r="L13" s="386"/>
      <c r="M13" s="397" t="s">
        <v>2648</v>
      </c>
      <c r="N13" s="398" t="n">
        <f aca="false">COUNTIF(F23:F82,"&gt;0")</f>
        <v>21</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2</v>
      </c>
      <c r="L14" s="386"/>
      <c r="M14" s="401" t="s">
        <v>2651</v>
      </c>
      <c r="N14" s="402" t="n">
        <f aca="false">COUNTIF($I$23:$I$82,"&gt;-1")</f>
        <v>20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3</v>
      </c>
      <c r="L15" s="386"/>
      <c r="M15" s="407" t="s">
        <v>2654</v>
      </c>
      <c r="N15" s="408" t="n">
        <f aca="false">COUNTIF(J23:J82,"=1")</f>
        <v>6</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8</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1.98</v>
      </c>
      <c r="C20" s="436" t="n">
        <f aca="false">SUM(C23:C82)</f>
        <v>0.745</v>
      </c>
      <c r="D20" s="437"/>
      <c r="E20" s="438" t="s">
        <v>2660</v>
      </c>
      <c r="F20" s="439" t="n">
        <f aca="false">($B20*$B$7+$C20*$C$7)/100</f>
        <v>1.30075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0.891</v>
      </c>
      <c r="C21" s="449" t="n">
        <f aca="false">C20*C7/100</f>
        <v>0.40975</v>
      </c>
      <c r="D21" s="381" t="str">
        <f aca="false">IF(F21=0,"",IF((ABS(F21-F19))&gt;(0.2*F21),CONCATENATE(" rec. par taxa (",F21," %) supérieur à 20 % !"),""))</f>
        <v> rec. par taxa (1,30075 %) supérieur à 20 % !</v>
      </c>
      <c r="E21" s="450" t="str">
        <f aca="false">IF(F21=0,"",IF((ABS(F21-F19))&gt;(0.2*F21),CONCATENATE("ATTENTION : écart entre rec. par grp (",F19," %) ","et",""),""))</f>
        <v>ATTENTION : écart entre rec. par grp (0 %) et</v>
      </c>
      <c r="F21" s="451" t="n">
        <f aca="false">B21+C21</f>
        <v>1.30075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IF(D23="",0,VLOOKUP(D23,D$18:D19,1,0))</f>
        <v>#N/A</v>
      </c>
      <c r="F23" s="478" t="n">
        <f aca="false">($B23*$B$7+$C23*$C$7)/100</f>
        <v>0.00225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0.00225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142</v>
      </c>
      <c r="B24" s="494" t="n">
        <v>0.005</v>
      </c>
      <c r="C24" s="495" t="n">
        <v>0.005</v>
      </c>
      <c r="D24" s="477" t="str">
        <f aca="false">IF(ISERROR(VLOOKUP($A24,'liste reference'!$A$7:$D$904,2,0)),IF(ISERROR(VLOOKUP($A24,'liste reference'!$B$7:$D$904,1,0)),"",VLOOKUP($A24,'liste reference'!$B$7:$D$904,1,0)),VLOOKUP($A24,'liste reference'!$A$7:$D$904,2,0))</f>
        <v>Hildenbrandia sp.</v>
      </c>
      <c r="E24" s="496" t="e">
        <f aca="false">IF(D24="",0,VLOOKUP(D24,D$22:D23,1,0))</f>
        <v>#N/A</v>
      </c>
      <c r="F24" s="497" t="n">
        <f aca="false">($B24*$B$7+$C24*$C$7)/100</f>
        <v>0.005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Hildenbrandia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1157</v>
      </c>
      <c r="Q24" s="486" t="n">
        <f aca="false">IF(ISTEXT(H24),"",(B24*$B$7/100)+(C24*$C$7/100))</f>
        <v>0.005</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489"/>
      <c r="Y24" s="490" t="str">
        <f aca="false">IF(A24="new.cod","NEWCOD",IF(AND((Z24=""),ISTEXT(A24)),A24,IF(Z24="","",INDEX('liste reference'!$A$8:$A$904,Z24))))</f>
        <v>HILSPX</v>
      </c>
      <c r="Z24" s="280" t="n">
        <f aca="false">IF(ISERROR(MATCH(A24,'liste reference'!$A$8:$A$904,0)),IF(ISERROR(MATCH(A24,'liste reference'!$B$8:$B$904,0)),"",(MATCH(A24,'liste reference'!$B$8:$B$904,0))),(MATCH(A24,'liste reference'!$A$8:$A$904,0)))</f>
        <v>30</v>
      </c>
      <c r="AA24" s="491"/>
      <c r="AB24" s="492"/>
      <c r="AC24" s="492"/>
      <c r="BB24" s="280" t="n">
        <f aca="false">IF(A24="","",1)</f>
        <v>1</v>
      </c>
    </row>
    <row r="25" customFormat="false" ht="12.75" hidden="false" customHeight="false" outlineLevel="0" collapsed="false">
      <c r="A25" s="493" t="s">
        <v>154</v>
      </c>
      <c r="B25" s="494" t="n">
        <v>0.35</v>
      </c>
      <c r="C25" s="495" t="n">
        <v>0.05</v>
      </c>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0.185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0.185</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166</v>
      </c>
      <c r="B26" s="494" t="n">
        <v>0.4</v>
      </c>
      <c r="C26" s="495" t="n">
        <v>0.15</v>
      </c>
      <c r="D26" s="477" t="str">
        <f aca="false">IF(ISERROR(VLOOKUP($A26,'liste reference'!$A$7:$D$904,2,0)),IF(ISERROR(VLOOKUP($A26,'liste reference'!$B$7:$D$904,1,0)),"",VLOOKUP($A26,'liste reference'!$B$7:$D$904,1,0)),VLOOKUP($A26,'liste reference'!$A$7:$D$904,2,0))</f>
        <v>Microcoleus sp.</v>
      </c>
      <c r="E26" s="496" t="e">
        <f aca="false">IF(D26="",0,VLOOKUP(D26,D$22:D25,1,0))</f>
        <v>#N/A</v>
      </c>
      <c r="F26" s="497" t="n">
        <f aca="false">($B26*$B$7+$C26*$C$7)/100</f>
        <v>0.2625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Microcoleus sp.</v>
      </c>
      <c r="L26" s="498"/>
      <c r="M26" s="498"/>
      <c r="N26" s="498"/>
      <c r="O26" s="484" t="s">
        <v>2685</v>
      </c>
      <c r="P26" s="485" t="n">
        <f aca="false">IF($A26="NEWCOD",IF($AC26="","No",$AC26),IF(ISTEXT($E26),"DEJA SAISI !",IF($A26="","",IF(ISERROR(VLOOKUP($A26,'liste reference'!A:S,19,FALSE())),IF(ISERROR(VLOOKUP($A26,'liste reference'!B:S,19,FALSE())),"",VLOOKUP($A26,'liste reference'!B:S,19,FALSE())),VLOOKUP($A26,'liste reference'!A:S,19,FALSE())))))</f>
        <v>6405</v>
      </c>
      <c r="Q26" s="486" t="n">
        <f aca="false">IF(ISTEXT(H26),"",(B26*$B$7/100)+(C26*$C$7/100))</f>
        <v>0.2625</v>
      </c>
      <c r="R26" s="487" t="n">
        <f aca="false">IF(OR(ISTEXT(H26),Q26=0),"",IF(Q26&lt;0.1,1,IF(Q26&lt;1,2,IF(Q26&lt;10,3,IF(Q26&lt;50,4,IF(Q26&gt;=50,5,""))))))</f>
        <v>2</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MIRSPX</v>
      </c>
      <c r="Z26" s="280" t="n">
        <f aca="false">IF(ISERROR(MATCH(A26,'liste reference'!$A$8:$A$904,0)),IF(ISERROR(MATCH(A26,'liste reference'!$B$8:$B$904,0)),"",(MATCH(A26,'liste reference'!$B$8:$B$904,0))),(MATCH(A26,'liste reference'!$A$8:$A$904,0)))</f>
        <v>38</v>
      </c>
      <c r="AA26" s="491" t="s">
        <v>2685</v>
      </c>
      <c r="AB26" s="492"/>
      <c r="AC26" s="492"/>
      <c r="BB26" s="280" t="n">
        <f aca="false">IF(A26="","",1)</f>
        <v>1</v>
      </c>
    </row>
    <row r="27" customFormat="false" ht="12.75" hidden="false" customHeight="false" outlineLevel="0" collapsed="false">
      <c r="A27" s="493" t="s">
        <v>220</v>
      </c>
      <c r="B27" s="494" t="n">
        <v>0.01</v>
      </c>
      <c r="C27" s="495" t="n">
        <v>0.01</v>
      </c>
      <c r="D27" s="477" t="str">
        <f aca="false">IF(ISERROR(VLOOKUP($A27,'liste reference'!$A$7:$D$904,2,0)),IF(ISERROR(VLOOKUP($A27,'liste reference'!$B$7:$D$904,1,0)),"",VLOOKUP($A27,'liste reference'!$B$7:$D$904,1,0)),VLOOKUP($A27,'liste reference'!$A$7:$D$904,2,0))</f>
        <v>Nostoc sp.</v>
      </c>
      <c r="E27" s="496" t="e">
        <f aca="false">IF(D27="",0,VLOOKUP(D27,D$22:D26,1,0))</f>
        <v>#N/A</v>
      </c>
      <c r="F27" s="497" t="n">
        <f aca="false">($B27*$B$7+$C27*$C$7)/100</f>
        <v>0.01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0.01</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258</v>
      </c>
      <c r="B28" s="494" t="n">
        <v>0.1</v>
      </c>
      <c r="C28" s="495" t="n">
        <v>0.25</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0.1825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0.1825</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359</v>
      </c>
      <c r="B29" s="494" t="n">
        <v>0.005</v>
      </c>
      <c r="C29" s="495" t="n">
        <v>0.005</v>
      </c>
      <c r="D29" s="477" t="str">
        <f aca="false">IF(ISERROR(VLOOKUP($A29,'liste reference'!$A$7:$D$904,2,0)),IF(ISERROR(VLOOKUP($A29,'liste reference'!$B$7:$D$904,1,0)),"",VLOOKUP($A29,'liste reference'!$B$7:$D$904,1,0)),VLOOKUP($A29,'liste reference'!$A$7:$D$904,2,0))</f>
        <v>Chiloscyphus polyanthos</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BRh</v>
      </c>
      <c r="H29" s="480" t="n">
        <f aca="false">IF(A29="","x",IF(ISERROR(VLOOKUP($A29,'liste reference'!$A$8:$P$904,14,0)),IF(ISERROR(VLOOKUP($A29,'liste reference'!$B$8:$P$904,13,0)),"x",VLOOKUP($A29,'liste reference'!$B$8:$P$904,13,0)),VLOOKUP($A29,'liste reference'!$A$8:$P$904,14,0)))</f>
        <v>4</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Chiloscyphus polyanthos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1186</v>
      </c>
      <c r="Q29" s="486" t="n">
        <f aca="false">IF(ISTEXT(H29),"",(B29*$B$7/100)+(C29*$C$7/100))</f>
        <v>0.005</v>
      </c>
      <c r="R29" s="487" t="n">
        <f aca="false">IF(OR(ISTEXT(H29),Q29=0),"",IF(Q29&lt;0.1,1,IF(Q29&lt;1,2,IF(Q29&lt;10,3,IF(Q29&lt;50,4,IF(Q29&gt;=50,5,""))))))</f>
        <v>1</v>
      </c>
      <c r="S29" s="487" t="n">
        <f aca="false">IF(ISERROR(R29*I29),0,R29*I29)</f>
        <v>15</v>
      </c>
      <c r="T29" s="487" t="n">
        <f aca="false">IF(ISERROR(R29*I29*J29),0,R29*I29*J29)</f>
        <v>30</v>
      </c>
      <c r="U29" s="499" t="n">
        <f aca="false">IF(ISERROR(R29*J29),0,R29*J29)</f>
        <v>2</v>
      </c>
      <c r="V29" s="488" t="str">
        <f aca="false">IF(AND(A29="",F29=0),"",IF(F29=0,"Il manque le(s) % de rec. !",""))</f>
        <v/>
      </c>
      <c r="W29" s="489"/>
      <c r="Y29" s="490" t="str">
        <f aca="false">IF(A29="new.cod","NEWCOD",IF(AND((Z29=""),ISTEXT(A29)),A29,IF(Z29="","",INDEX('liste reference'!$A$8:$A$904,Z29))))</f>
        <v>CHIPOL</v>
      </c>
      <c r="Z29" s="280" t="n">
        <f aca="false">IF(ISERROR(MATCH(A29,'liste reference'!$A$8:$A$904,0)),IF(ISERROR(MATCH(A29,'liste reference'!$B$8:$B$904,0)),"",(MATCH(A29,'liste reference'!$B$8:$B$904,0))),(MATCH(A29,'liste reference'!$A$8:$A$904,0)))</f>
        <v>97</v>
      </c>
      <c r="AA29" s="491"/>
      <c r="AB29" s="492"/>
      <c r="AC29" s="492"/>
      <c r="BB29" s="280" t="n">
        <f aca="false">IF(A29="","",1)</f>
        <v>1</v>
      </c>
    </row>
    <row r="30" customFormat="false" ht="12.75" hidden="false" customHeight="false" outlineLevel="0" collapsed="false">
      <c r="A30" s="493" t="s">
        <v>561</v>
      </c>
      <c r="B30" s="494" t="n">
        <v>0.005</v>
      </c>
      <c r="C30" s="495"/>
      <c r="D30" s="477" t="str">
        <f aca="false">IF(ISERROR(VLOOKUP($A30,'liste reference'!$A$7:$D$904,2,0)),IF(ISERROR(VLOOKUP($A30,'liste reference'!$B$7:$D$904,1,0)),"",VLOOKUP($A30,'liste reference'!$B$7:$D$904,1,0)),VLOOKUP($A30,'liste reference'!$A$7:$D$904,2,0))</f>
        <v>Riccardia chamedryfolia</v>
      </c>
      <c r="E30" s="496" t="e">
        <f aca="false">IF(D30="",0,VLOOKUP(D30,D$22:D29,1,0))</f>
        <v>#N/A</v>
      </c>
      <c r="F30" s="497" t="n">
        <f aca="false">($B30*$B$7+$C30*$C$7)/100</f>
        <v>0.00225</v>
      </c>
      <c r="G30" s="479" t="str">
        <f aca="false">IF(A30="","",IF(ISERROR(VLOOKUP($A30,'liste reference'!$A$7:$P$904,13,0)),IF(ISERROR(VLOOKUP($A30,'liste reference'!$B$7:$P$904,12,0)),"    -",VLOOKUP($A30,'liste reference'!$B$7:$P$904,12,0)),VLOOKUP($A30,'liste reference'!$A$7:$P$904,13,0)))</f>
        <v>BRh</v>
      </c>
      <c r="H30" s="480" t="n">
        <f aca="false">IF(A30="","x",IF(ISERROR(VLOOKUP($A30,'liste reference'!$A$8:$P$904,14,0)),IF(ISERROR(VLOOKUP($A30,'liste reference'!$B$8:$P$904,13,0)),"x",VLOOKUP($A30,'liste reference'!$B$8:$P$904,13,0)),VLOOKUP($A30,'liste reference'!$A$8:$P$904,14,0)))</f>
        <v>4</v>
      </c>
      <c r="I30" s="481" t="n">
        <f aca="false">IF(ISNUMBER(H30),IF(ISERROR(VLOOKUP($A30,'liste reference'!$A$7:$P$904,3,0)),IF(ISERROR(VLOOKUP($A30,'liste reference'!$B$7:$P$904,2,0)),"",VLOOKUP($A30,'liste reference'!$B$7:$P$904,2,0)),VLOOKUP($A30,'liste reference'!$A$7:$P$904,3,0)),"")</f>
        <v>15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Riccardia chamedryfolia</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1173</v>
      </c>
      <c r="Q30" s="486" t="n">
        <f aca="false">IF(ISTEXT(H30),"",(B30*$B$7/100)+(C30*$C$7/100))</f>
        <v>0.00225</v>
      </c>
      <c r="R30" s="487" t="n">
        <f aca="false">IF(OR(ISTEXT(H30),Q30=0),"",IF(Q30&lt;0.1,1,IF(Q30&lt;1,2,IF(Q30&lt;10,3,IF(Q30&lt;50,4,IF(Q30&gt;=50,5,""))))))</f>
        <v>1</v>
      </c>
      <c r="S30" s="487" t="n">
        <f aca="false">IF(ISERROR(R30*I30),0,R30*I30)</f>
        <v>15</v>
      </c>
      <c r="T30" s="487" t="n">
        <f aca="false">IF(ISERROR(R30*I30*J30),0,R30*I30*J30)</f>
        <v>30</v>
      </c>
      <c r="U30" s="499" t="n">
        <f aca="false">IF(ISERROR(R30*J30),0,R30*J30)</f>
        <v>2</v>
      </c>
      <c r="V30" s="488" t="str">
        <f aca="false">IF(AND(A30="",F30=0),"",IF(F30=0,"Il manque le(s) % de rec. !",""))</f>
        <v/>
      </c>
      <c r="W30" s="489"/>
      <c r="X30" s="489"/>
      <c r="Y30" s="490" t="str">
        <f aca="false">IF(A30="new.cod","NEWCOD",IF(AND((Z30=""),ISTEXT(A30)),A30,IF(Z30="","",INDEX('liste reference'!$A$8:$A$904,Z30))))</f>
        <v>RICCHA</v>
      </c>
      <c r="Z30" s="280" t="n">
        <f aca="false">IF(ISERROR(MATCH(A30,'liste reference'!$A$8:$A$904,0)),IF(ISERROR(MATCH(A30,'liste reference'!$B$8:$B$904,0)),"",(MATCH(A30,'liste reference'!$B$8:$B$904,0))),(MATCH(A30,'liste reference'!$A$8:$A$904,0)))</f>
        <v>130</v>
      </c>
      <c r="AA30" s="491"/>
      <c r="AB30" s="492"/>
      <c r="AC30" s="492"/>
      <c r="BB30" s="280" t="n">
        <f aca="false">IF(A30="","",1)</f>
        <v>1</v>
      </c>
    </row>
    <row r="31" customFormat="false" ht="12.75" hidden="false" customHeight="false" outlineLevel="0" collapsed="false">
      <c r="A31" s="493" t="s">
        <v>670</v>
      </c>
      <c r="B31" s="494" t="n">
        <v>0.55</v>
      </c>
      <c r="C31" s="495" t="n">
        <v>0.005</v>
      </c>
      <c r="D31" s="477" t="str">
        <f aca="false">IF(ISERROR(VLOOKUP($A31,'liste reference'!$A$7:$D$904,2,0)),IF(ISERROR(VLOOKUP($A31,'liste reference'!$B$7:$D$904,1,0)),"",VLOOKUP($A31,'liste reference'!$B$7:$D$904,1,0)),VLOOKUP($A31,'liste reference'!$A$7:$D$904,2,0))</f>
        <v>Brachythecium rivulare</v>
      </c>
      <c r="E31" s="496" t="e">
        <f aca="false">IF(D31="",0,VLOOKUP(D31,D$22:D30,1,0))</f>
        <v>#N/A</v>
      </c>
      <c r="F31" s="497" t="n">
        <f aca="false">($B31*$B$7+$C31*$C$7)/100</f>
        <v>0.25025</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Brachythecium rivulare</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1260</v>
      </c>
      <c r="Q31" s="486" t="n">
        <f aca="false">IF(ISTEXT(H31),"",(B31*$B$7/100)+(C31*$C$7/100))</f>
        <v>0.25025</v>
      </c>
      <c r="R31" s="487" t="n">
        <f aca="false">IF(OR(ISTEXT(H31),Q31=0),"",IF(Q31&lt;0.1,1,IF(Q31&lt;1,2,IF(Q31&lt;10,3,IF(Q31&lt;50,4,IF(Q31&gt;=50,5,""))))))</f>
        <v>2</v>
      </c>
      <c r="S31" s="487" t="n">
        <f aca="false">IF(ISERROR(R31*I31),0,R31*I31)</f>
        <v>30</v>
      </c>
      <c r="T31" s="487" t="n">
        <f aca="false">IF(ISERROR(R31*I31*J31),0,R31*I31*J31)</f>
        <v>60</v>
      </c>
      <c r="U31" s="499" t="n">
        <f aca="false">IF(ISERROR(R31*J31),0,R31*J31)</f>
        <v>4</v>
      </c>
      <c r="V31" s="488" t="str">
        <f aca="false">IF(AND(A31="",F31=0),"",IF(F31=0,"Il manque le(s) % de rec. !",""))</f>
        <v/>
      </c>
      <c r="W31" s="489"/>
      <c r="Y31" s="490" t="str">
        <f aca="false">IF(A31="new.cod","NEWCOD",IF(AND((Z31=""),ISTEXT(A31)),A31,IF(Z31="","",INDEX('liste reference'!$A$8:$A$904,Z31))))</f>
        <v>BRARIV</v>
      </c>
      <c r="Z31" s="280" t="n">
        <f aca="false">IF(ISERROR(MATCH(A31,'liste reference'!$A$8:$A$904,0)),IF(ISERROR(MATCH(A31,'liste reference'!$B$8:$B$904,0)),"",(MATCH(A31,'liste reference'!$B$8:$B$904,0))),(MATCH(A31,'liste reference'!$A$8:$A$904,0)))</f>
        <v>155</v>
      </c>
      <c r="AA31" s="491"/>
      <c r="AB31" s="492"/>
      <c r="AC31" s="492"/>
      <c r="BB31" s="280" t="n">
        <f aca="false">IF(A31="","",1)</f>
        <v>1</v>
      </c>
    </row>
    <row r="32" customFormat="false" ht="12.75" hidden="false" customHeight="false" outlineLevel="0" collapsed="false">
      <c r="A32" s="493" t="s">
        <v>691</v>
      </c>
      <c r="B32" s="494"/>
      <c r="C32" s="495" t="n">
        <v>0.005</v>
      </c>
      <c r="D32" s="477" t="str">
        <f aca="false">IF(ISERROR(VLOOKUP($A32,'liste reference'!$A$7:$D$904,2,0)),IF(ISERROR(VLOOKUP($A32,'liste reference'!$B$7:$D$904,1,0)),"",VLOOKUP($A32,'liste reference'!$B$7:$D$904,1,0)),VLOOKUP($A32,'liste reference'!$A$7:$D$904,2,0))</f>
        <v>Bryum pseudotriquetrum</v>
      </c>
      <c r="E32" s="496" t="e">
        <f aca="false">IF(D32="",0,VLOOKUP(D32,D$22:D31,1,0))</f>
        <v>#N/A</v>
      </c>
      <c r="F32" s="497" t="n">
        <f aca="false">($B32*$B$7+$C32*$C$7)/100</f>
        <v>0.00275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Bryum pseudotriquetrum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1274</v>
      </c>
      <c r="Q32" s="486" t="n">
        <f aca="false">IF(ISTEXT(H32),"",(B32*$B$7/100)+(C32*$C$7/100))</f>
        <v>0.00275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BRYPSE</v>
      </c>
      <c r="Z32" s="280" t="n">
        <f aca="false">IF(ISERROR(MATCH(A32,'liste reference'!$A$8:$A$904,0)),IF(ISERROR(MATCH(A32,'liste reference'!$B$8:$B$904,0)),"",(MATCH(A32,'liste reference'!$B$8:$B$904,0))),(MATCH(A32,'liste reference'!$A$8:$A$904,0)))</f>
        <v>160</v>
      </c>
      <c r="AA32" s="491"/>
      <c r="AB32" s="492"/>
      <c r="AC32" s="492"/>
      <c r="BB32" s="280" t="n">
        <f aca="false">IF(A32="","",1)</f>
        <v>1</v>
      </c>
    </row>
    <row r="33" customFormat="false" ht="12.75" hidden="false" customHeight="false" outlineLevel="0" collapsed="false">
      <c r="A33" s="493" t="s">
        <v>730</v>
      </c>
      <c r="B33" s="494" t="n">
        <v>0.01</v>
      </c>
      <c r="C33" s="495"/>
      <c r="D33" s="477" t="str">
        <f aca="false">IF(ISERROR(VLOOKUP($A33,'liste reference'!$A$7:$D$904,2,0)),IF(ISERROR(VLOOKUP($A33,'liste reference'!$B$7:$D$904,1,0)),"",VLOOKUP($A33,'liste reference'!$B$7:$D$904,1,0)),VLOOKUP($A33,'liste reference'!$A$7:$D$904,2,0))</f>
        <v>Calliergonella cuspidata</v>
      </c>
      <c r="E33" s="496" t="e">
        <f aca="false">IF(D33="",0,VLOOKUP(D33,D$15:D32,1,0))</f>
        <v>#N/A</v>
      </c>
      <c r="F33" s="497" t="n">
        <f aca="false">($B33*$B$7+$C33*$C$7)/100</f>
        <v>0.0045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Calliergonella cuspidata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1228</v>
      </c>
      <c r="Q33" s="486" t="n">
        <f aca="false">IF(ISTEXT(H33),"",(B33*$B$7/100)+(C33*$C$7/100))</f>
        <v>0.0045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CAECUS</v>
      </c>
      <c r="Z33" s="280" t="n">
        <f aca="false">IF(ISERROR(MATCH(A33,'liste reference'!$A$8:$A$904,0)),IF(ISERROR(MATCH(A33,'liste reference'!$B$8:$B$904,0)),"",(MATCH(A33,'liste reference'!$B$8:$B$904,0))),(MATCH(A33,'liste reference'!$A$8:$A$904,0)))</f>
        <v>169</v>
      </c>
      <c r="AA33" s="491"/>
      <c r="AB33" s="492"/>
      <c r="AC33" s="492"/>
      <c r="BB33" s="280" t="n">
        <f aca="false">IF(A33="","",1)</f>
        <v>1</v>
      </c>
    </row>
    <row r="34" customFormat="false" ht="12.75" hidden="false" customHeight="false" outlineLevel="0" collapsed="false">
      <c r="A34" s="493" t="s">
        <v>896</v>
      </c>
      <c r="B34" s="494"/>
      <c r="C34" s="495" t="n">
        <v>0.02</v>
      </c>
      <c r="D34" s="477" t="str">
        <f aca="false">IF(ISERROR(VLOOKUP($A34,'liste reference'!$A$7:$D$904,2,0)),IF(ISERROR(VLOOKUP($A34,'liste reference'!$B$7:$D$904,1,0)),"",VLOOKUP($A34,'liste reference'!$B$7:$D$904,1,0)),VLOOKUP($A34,'liste reference'!$A$7:$D$904,2,0))</f>
        <v>Fontinalis antipyretica</v>
      </c>
      <c r="E34" s="496" t="e">
        <f aca="false">IF(D34="",0,VLOOKUP(D34,D$22:D33,1,0))</f>
        <v>#N/A</v>
      </c>
      <c r="F34" s="500" t="n">
        <f aca="false">($B34*$B$7+$C34*$C$7)/100</f>
        <v>0.011</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1310</v>
      </c>
      <c r="Q34" s="486" t="n">
        <f aca="false">IF(ISTEXT(H34),"",(B34*$B$7/100)+(C34*$C$7/100))</f>
        <v>0.011</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FONANT</v>
      </c>
      <c r="Z34" s="280" t="n">
        <f aca="false">IF(ISERROR(MATCH(A34,'liste reference'!$A$8:$A$904,0)),IF(ISERROR(MATCH(A34,'liste reference'!$B$8:$B$904,0)),"",(MATCH(A34,'liste reference'!$B$8:$B$904,0))),(MATCH(A34,'liste reference'!$A$8:$A$904,0)))</f>
        <v>210</v>
      </c>
      <c r="AA34" s="491"/>
      <c r="AB34" s="492"/>
      <c r="AC34" s="492"/>
      <c r="BB34" s="280" t="n">
        <f aca="false">IF(A34="","",1)</f>
        <v>1</v>
      </c>
    </row>
    <row r="35" customFormat="false" ht="12.75" hidden="false" customHeight="false" outlineLevel="0" collapsed="false">
      <c r="A35" s="493" t="s">
        <v>910</v>
      </c>
      <c r="B35" s="494" t="n">
        <v>0.005</v>
      </c>
      <c r="C35" s="495"/>
      <c r="D35" s="477" t="str">
        <f aca="false">IF(ISERROR(VLOOKUP($A35,'liste reference'!$A$7:$D$904,2,0)),IF(ISERROR(VLOOKUP($A35,'liste reference'!$B$7:$D$904,1,0)),"",VLOOKUP($A35,'liste reference'!$B$7:$D$904,1,0)),VLOOKUP($A35,'liste reference'!$A$7:$D$904,2,0))</f>
        <v>Fontinalis hypnoides var. duriaei</v>
      </c>
      <c r="E35" s="496" t="e">
        <f aca="false">IF(D35="",0,VLOOKUP(D35,D$22:D34,1,0))</f>
        <v>#N/A</v>
      </c>
      <c r="F35" s="500" t="n">
        <f aca="false">($B35*$B$7+$C35*$C$7)/100</f>
        <v>0.00225</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14</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hypnoides var. duriaei</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10215</v>
      </c>
      <c r="Q35" s="486" t="n">
        <f aca="false">IF(ISTEXT(H35),"",(B35*$B$7/100)+(C35*$C$7/100))</f>
        <v>0.00225</v>
      </c>
      <c r="R35" s="487" t="n">
        <f aca="false">IF(OR(ISTEXT(H35),Q35=0),"",IF(Q35&lt;0.1,1,IF(Q35&lt;1,2,IF(Q35&lt;10,3,IF(Q35&lt;50,4,IF(Q35&gt;=50,5,""))))))</f>
        <v>1</v>
      </c>
      <c r="S35" s="487" t="n">
        <f aca="false">IF(ISERROR(R35*I35),0,R35*I35)</f>
        <v>14</v>
      </c>
      <c r="T35" s="487" t="n">
        <f aca="false">IF(ISERROR(R35*I35*J35),0,R35*I35*J35)</f>
        <v>42</v>
      </c>
      <c r="U35" s="499" t="n">
        <f aca="false">IF(ISERROR(R35*J35),0,R35*J35)</f>
        <v>3</v>
      </c>
      <c r="V35" s="488" t="str">
        <f aca="false">IF(AND(A35="",F35=0),"",IF(F35=0,"Il manque le(s) % de rec. !",""))</f>
        <v/>
      </c>
      <c r="W35" s="489"/>
      <c r="Y35" s="490" t="str">
        <f aca="false">IF(A35="new.cod","NEWCOD",IF(AND((Z35=""),ISTEXT(A35)),A35,IF(Z35="","",INDEX('liste reference'!$A$8:$A$904,Z35))))</f>
        <v>FONHYD</v>
      </c>
      <c r="Z35" s="280" t="n">
        <f aca="false">IF(ISERROR(MATCH(A35,'liste reference'!$A$8:$A$904,0)),IF(ISERROR(MATCH(A35,'liste reference'!$B$8:$B$904,0)),"",(MATCH(A35,'liste reference'!$B$8:$B$904,0))),(MATCH(A35,'liste reference'!$A$8:$A$904,0)))</f>
        <v>212</v>
      </c>
      <c r="AA35" s="491"/>
      <c r="AB35" s="492"/>
      <c r="AC35" s="492"/>
      <c r="BB35" s="280" t="n">
        <f aca="false">IF(A35="","",1)</f>
        <v>1</v>
      </c>
    </row>
    <row r="36" customFormat="false" ht="12.75" hidden="false" customHeight="false" outlineLevel="0" collapsed="false">
      <c r="A36" s="493" t="s">
        <v>1054</v>
      </c>
      <c r="B36" s="494" t="n">
        <v>0.25</v>
      </c>
      <c r="C36" s="495" t="n">
        <v>0.05</v>
      </c>
      <c r="D36" s="477" t="str">
        <f aca="false">IF(ISERROR(VLOOKUP($A36,'liste reference'!$A$7:$D$904,2,0)),IF(ISERROR(VLOOKUP($A36,'liste reference'!$B$7:$D$904,1,0)),"",VLOOKUP($A36,'liste reference'!$B$7:$D$904,1,0)),VLOOKUP($A36,'liste reference'!$A$7:$D$904,2,0))</f>
        <v>Rhynchostegium riparioides</v>
      </c>
      <c r="E36" s="496" t="e">
        <f aca="false">IF(D36="",0,VLOOKUP(D36,D$22:D35,1,0))</f>
        <v>#N/A</v>
      </c>
      <c r="F36" s="500" t="n">
        <f aca="false">($B36*$B$7+$C36*$C$7)/100</f>
        <v>0.14</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12</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Rhynchostegium riparioides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1268</v>
      </c>
      <c r="Q36" s="486" t="n">
        <f aca="false">IF(ISTEXT(H36),"",(B36*$B$7/100)+(C36*$C$7/100))</f>
        <v>0.14</v>
      </c>
      <c r="R36" s="487" t="n">
        <f aca="false">IF(OR(ISTEXT(H36),Q36=0),"",IF(Q36&lt;0.1,1,IF(Q36&lt;1,2,IF(Q36&lt;10,3,IF(Q36&lt;50,4,IF(Q36&gt;=50,5,""))))))</f>
        <v>2</v>
      </c>
      <c r="S36" s="487" t="n">
        <f aca="false">IF(ISERROR(R36*I36),0,R36*I36)</f>
        <v>24</v>
      </c>
      <c r="T36" s="487" t="n">
        <f aca="false">IF(ISERROR(R36*I36*J36),0,R36*I36*J36)</f>
        <v>24</v>
      </c>
      <c r="U36" s="499" t="n">
        <f aca="false">IF(ISERROR(R36*J36),0,R36*J36)</f>
        <v>2</v>
      </c>
      <c r="V36" s="488" t="str">
        <f aca="false">IF(AND(A36="",F36=0),"",IF(F36=0,"Il manque le(s) % de rec. !",""))</f>
        <v/>
      </c>
      <c r="W36" s="489"/>
      <c r="Y36" s="490" t="str">
        <f aca="false">IF(A36="new.cod","NEWCOD",IF(AND((Z36=""),ISTEXT(A36)),A36,IF(Z36="","",INDEX('liste reference'!$A$8:$A$904,Z36))))</f>
        <v>RHYRIP</v>
      </c>
      <c r="Z36" s="280" t="n">
        <f aca="false">IF(ISERROR(MATCH(A36,'liste reference'!$A$8:$A$904,0)),IF(ISERROR(MATCH(A36,'liste reference'!$B$8:$B$904,0)),"",(MATCH(A36,'liste reference'!$B$8:$B$904,0))),(MATCH(A36,'liste reference'!$A$8:$A$904,0)))</f>
        <v>252</v>
      </c>
      <c r="AA36" s="491"/>
      <c r="AB36" s="492"/>
      <c r="AC36" s="492"/>
      <c r="BB36" s="280" t="n">
        <f aca="false">IF(A36="","",1)</f>
        <v>1</v>
      </c>
    </row>
    <row r="37" customFormat="false" ht="12.75" hidden="false" customHeight="false" outlineLevel="0" collapsed="false">
      <c r="A37" s="493" t="s">
        <v>1121</v>
      </c>
      <c r="B37" s="494" t="n">
        <v>0.005</v>
      </c>
      <c r="C37" s="495"/>
      <c r="D37" s="477" t="str">
        <f aca="false">IF(ISERROR(VLOOKUP($A37,'liste reference'!$A$7:$D$904,2,0)),IF(ISERROR(VLOOKUP($A37,'liste reference'!$B$7:$D$904,1,0)),"",VLOOKUP($A37,'liste reference'!$B$7:$D$904,1,0)),VLOOKUP($A37,'liste reference'!$A$7:$D$904,2,0))</f>
        <v>Thamnobryum alopecurum</v>
      </c>
      <c r="E37" s="496" t="e">
        <f aca="false">IF(D37="",0,VLOOKUP(D37,D$22:D36,1,0))</f>
        <v>#N/A</v>
      </c>
      <c r="F37" s="500" t="n">
        <f aca="false">($B37*$B$7+$C37*$C$7)/100</f>
        <v>0.00225</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15</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Thamnobryum alopecurum</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1344</v>
      </c>
      <c r="Q37" s="486" t="n">
        <f aca="false">IF(ISTEXT(H37),"",(B37*$B$7/100)+(C37*$C$7/100))</f>
        <v>0.00225</v>
      </c>
      <c r="R37" s="487" t="n">
        <f aca="false">IF(OR(ISTEXT(H37),Q37=0),"",IF(Q37&lt;0.1,1,IF(Q37&lt;1,2,IF(Q37&lt;10,3,IF(Q37&lt;50,4,IF(Q37&gt;=50,5,""))))))</f>
        <v>1</v>
      </c>
      <c r="S37" s="487" t="n">
        <f aca="false">IF(ISERROR(R37*I37),0,R37*I37)</f>
        <v>15</v>
      </c>
      <c r="T37" s="487" t="n">
        <f aca="false">IF(ISERROR(R37*I37*J37),0,R37*I37*J37)</f>
        <v>30</v>
      </c>
      <c r="U37" s="499" t="n">
        <f aca="false">IF(ISERROR(R37*J37),0,R37*J37)</f>
        <v>2</v>
      </c>
      <c r="V37" s="488" t="str">
        <f aca="false">IF(AND(A37="",F37=0),"",IF(F37=0,"Il manque le(s) % de rec. !",""))</f>
        <v/>
      </c>
      <c r="W37" s="489"/>
      <c r="Y37" s="490" t="str">
        <f aca="false">IF(A37="new.cod","NEWCOD",IF(AND((Z37=""),ISTEXT(A37)),A37,IF(Z37="","",INDEX('liste reference'!$A$8:$A$904,Z37))))</f>
        <v>THAALO</v>
      </c>
      <c r="Z37" s="280" t="n">
        <f aca="false">IF(ISERROR(MATCH(A37,'liste reference'!$A$8:$A$904,0)),IF(ISERROR(MATCH(A37,'liste reference'!$B$8:$B$904,0)),"",(MATCH(A37,'liste reference'!$B$8:$B$904,0))),(MATCH(A37,'liste reference'!$A$8:$A$904,0)))</f>
        <v>267</v>
      </c>
      <c r="AA37" s="491"/>
      <c r="AB37" s="492"/>
      <c r="AC37" s="492"/>
      <c r="BB37" s="280" t="n">
        <f aca="false">IF(A37="","",1)</f>
        <v>1</v>
      </c>
    </row>
    <row r="38" customFormat="false" ht="12.75" hidden="false" customHeight="false" outlineLevel="0" collapsed="false">
      <c r="A38" s="493" t="s">
        <v>1153</v>
      </c>
      <c r="B38" s="494" t="n">
        <v>0.1</v>
      </c>
      <c r="C38" s="495"/>
      <c r="D38" s="477" t="str">
        <f aca="false">IF(ISERROR(VLOOKUP($A38,'liste reference'!$A$7:$D$904,2,0)),IF(ISERROR(VLOOKUP($A38,'liste reference'!$B$7:$D$904,1,0)),"",VLOOKUP($A38,'liste reference'!$B$7:$D$904,1,0)),VLOOKUP($A38,'liste reference'!$A$7:$D$904,2,0))</f>
        <v>Equisetum arvense</v>
      </c>
      <c r="E38" s="496" t="e">
        <f aca="false">IF(D38="",0,VLOOKUP(D38,D$22:D37,1,0))</f>
        <v>#N/A</v>
      </c>
      <c r="F38" s="500" t="n">
        <f aca="false">($B38*$B$7+$C38*$C$7)/100</f>
        <v>0.045</v>
      </c>
      <c r="G38" s="479" t="str">
        <f aca="false">IF(A38="","",IF(ISERROR(VLOOKUP($A38,'liste reference'!$A$7:$P$904,13,0)),IF(ISERROR(VLOOKUP($A38,'liste reference'!$B$7:$P$904,12,0)),"    -",VLOOKUP($A38,'liste reference'!$B$7:$P$904,12,0)),VLOOKUP($A38,'liste reference'!$A$7:$P$904,13,0)))</f>
        <v>PTE</v>
      </c>
      <c r="H38" s="480" t="n">
        <f aca="false">IF(A38="","x",IF(ISERROR(VLOOKUP($A38,'liste reference'!$A$8:$P$904,14,0)),IF(ISERROR(VLOOKUP($A38,'liste reference'!$B$8:$P$904,13,0)),"x",VLOOKUP($A38,'liste reference'!$B$8:$P$904,13,0)),VLOOKUP($A38,'liste reference'!$A$8:$P$904,14,0)))</f>
        <v>6</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Equisetum arvense</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1384</v>
      </c>
      <c r="Q38" s="486" t="n">
        <f aca="false">IF(ISTEXT(H38),"",(B38*$B$7/100)+(C38*$C$7/100))</f>
        <v>0.045</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EQUARV</v>
      </c>
      <c r="Z38" s="280" t="n">
        <f aca="false">IF(ISERROR(MATCH(A38,'liste reference'!$A$8:$A$904,0)),IF(ISERROR(MATCH(A38,'liste reference'!$B$8:$B$904,0)),"",(MATCH(A38,'liste reference'!$B$8:$B$904,0))),(MATCH(A38,'liste reference'!$A$8:$A$904,0)))</f>
        <v>278</v>
      </c>
      <c r="AA38" s="491"/>
      <c r="AB38" s="492"/>
      <c r="AC38" s="492"/>
      <c r="BB38" s="280" t="n">
        <f aca="false">IF(A38="","",1)</f>
        <v>1</v>
      </c>
    </row>
    <row r="39" customFormat="false" ht="12.75" hidden="false" customHeight="false" outlineLevel="0" collapsed="false">
      <c r="A39" s="493" t="s">
        <v>1197</v>
      </c>
      <c r="B39" s="494" t="n">
        <v>0.1</v>
      </c>
      <c r="C39" s="495" t="n">
        <v>0.15</v>
      </c>
      <c r="D39" s="477" t="str">
        <f aca="false">IF(ISERROR(VLOOKUP($A39,'liste reference'!$A$7:$D$904,2,0)),IF(ISERROR(VLOOKUP($A39,'liste reference'!$B$7:$D$904,1,0)),"",VLOOKUP($A39,'liste reference'!$B$7:$D$904,1,0)),VLOOKUP($A39,'liste reference'!$A$7:$D$904,2,0))</f>
        <v>Osmunda regalis</v>
      </c>
      <c r="E39" s="496" t="e">
        <f aca="false">IF(D39="",0,VLOOKUP(D39,D$22:D38,1,0))</f>
        <v>#N/A</v>
      </c>
      <c r="F39" s="500" t="n">
        <f aca="false">($B39*$B$7+$C39*$C$7)/100</f>
        <v>0.1275</v>
      </c>
      <c r="G39" s="479" t="str">
        <f aca="false">IF(A39="","",IF(ISERROR(VLOOKUP($A39,'liste reference'!$A$7:$P$904,13,0)),IF(ISERROR(VLOOKUP($A39,'liste reference'!$B$7:$P$904,12,0)),"    -",VLOOKUP($A39,'liste reference'!$B$7:$P$904,12,0)),VLOOKUP($A39,'liste reference'!$A$7:$P$904,13,0)))</f>
        <v>PTE</v>
      </c>
      <c r="H39" s="480" t="n">
        <f aca="false">IF(A39="","x",IF(ISERROR(VLOOKUP($A39,'liste reference'!$A$8:$P$904,14,0)),IF(ISERROR(VLOOKUP($A39,'liste reference'!$B$8:$P$904,13,0)),"x",VLOOKUP($A39,'liste reference'!$B$8:$P$904,13,0)),VLOOKUP($A39,'liste reference'!$A$8:$P$904,14,0)))</f>
        <v>6</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Osmunda regalis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1403</v>
      </c>
      <c r="Q39" s="486" t="n">
        <f aca="false">IF(ISTEXT(H39),"",(B39*$B$7/100)+(C39*$C$7/100))</f>
        <v>0.1275</v>
      </c>
      <c r="R39" s="487" t="n">
        <f aca="false">IF(OR(ISTEXT(H39),Q39=0),"",IF(Q39&lt;0.1,1,IF(Q39&lt;1,2,IF(Q39&lt;10,3,IF(Q39&lt;50,4,IF(Q39&gt;=50,5,""))))))</f>
        <v>2</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OSMREG</v>
      </c>
      <c r="Z39" s="280" t="n">
        <f aca="false">IF(ISERROR(MATCH(A39,'liste reference'!$A$8:$A$904,0)),IF(ISERROR(MATCH(A39,'liste reference'!$B$8:$B$904,0)),"",(MATCH(A39,'liste reference'!$B$8:$B$904,0))),(MATCH(A39,'liste reference'!$A$8:$A$904,0)))</f>
        <v>298</v>
      </c>
      <c r="AA39" s="491"/>
      <c r="AB39" s="492"/>
      <c r="AC39" s="492"/>
      <c r="BB39" s="280" t="n">
        <f aca="false">IF(A39="","",1)</f>
        <v>1</v>
      </c>
    </row>
    <row r="40" customFormat="false" ht="12.75" hidden="false" customHeight="false" outlineLevel="0" collapsed="false">
      <c r="A40" s="493" t="s">
        <v>1936</v>
      </c>
      <c r="B40" s="494" t="n">
        <v>0.02</v>
      </c>
      <c r="C40" s="495" t="n">
        <v>0.02</v>
      </c>
      <c r="D40" s="477" t="str">
        <f aca="false">IF(ISERROR(VLOOKUP($A40,'liste reference'!$A$7:$D$904,2,0)),IF(ISERROR(VLOOKUP($A40,'liste reference'!$B$7:$D$904,1,0)),"",VLOOKUP($A40,'liste reference'!$B$7:$D$904,1,0)),VLOOKUP($A40,'liste reference'!$A$7:$D$904,2,0))</f>
        <v>Mentha aquatica</v>
      </c>
      <c r="E40" s="496" t="e">
        <f aca="false">IF(D40="",0,VLOOKUP(D40,D$22:D39,1,0))</f>
        <v>#N/A</v>
      </c>
      <c r="F40" s="500" t="n">
        <f aca="false">($B40*$B$7+$C40*$C$7)/100</f>
        <v>0.02</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12</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Mentha aquatica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1791</v>
      </c>
      <c r="Q40" s="486" t="n">
        <f aca="false">IF(ISTEXT(H40),"",(B40*$B$7/100)+(C40*$C$7/100))</f>
        <v>0.02</v>
      </c>
      <c r="R40" s="487" t="n">
        <f aca="false">IF(OR(ISTEXT(H40),Q40=0),"",IF(Q40&lt;0.1,1,IF(Q40&lt;1,2,IF(Q40&lt;10,3,IF(Q40&lt;50,4,IF(Q40&gt;=50,5,""))))))</f>
        <v>1</v>
      </c>
      <c r="S40" s="487" t="n">
        <f aca="false">IF(ISERROR(R40*I40),0,R40*I40)</f>
        <v>12</v>
      </c>
      <c r="T40" s="487" t="n">
        <f aca="false">IF(ISERROR(R40*I40*J40),0,R40*I40*J40)</f>
        <v>12</v>
      </c>
      <c r="U40" s="499" t="n">
        <f aca="false">IF(ISERROR(R40*J40),0,R40*J40)</f>
        <v>1</v>
      </c>
      <c r="V40" s="488" t="str">
        <f aca="false">IF(AND(A40="",F40=0),"",IF(F40=0,"Il manque le(s) % de rec. !",""))</f>
        <v/>
      </c>
      <c r="W40" s="489"/>
      <c r="X40" s="489"/>
      <c r="Y40" s="490" t="str">
        <f aca="false">IF(A40="new.cod","NEWCOD",IF(AND((Z40=""),ISTEXT(A40)),A40,IF(Z40="","",INDEX('liste reference'!$A$8:$A$904,Z40))))</f>
        <v>MENAQU</v>
      </c>
      <c r="Z40" s="280" t="n">
        <f aca="false">IF(ISERROR(MATCH(A40,'liste reference'!$A$8:$A$904,0)),IF(ISERROR(MATCH(A40,'liste reference'!$B$8:$B$904,0)),"",(MATCH(A40,'liste reference'!$B$8:$B$904,0))),(MATCH(A40,'liste reference'!$A$8:$A$904,0)))</f>
        <v>607</v>
      </c>
      <c r="AA40" s="491"/>
      <c r="AB40" s="492"/>
      <c r="AC40" s="492"/>
      <c r="BB40" s="280" t="n">
        <f aca="false">IF(A40="","",1)</f>
        <v>1</v>
      </c>
    </row>
    <row r="41" customFormat="false" ht="12.75" hidden="false" customHeight="false" outlineLevel="0" collapsed="false">
      <c r="A41" s="493" t="s">
        <v>1991</v>
      </c>
      <c r="B41" s="494" t="n">
        <v>0.05</v>
      </c>
      <c r="C41" s="495" t="n">
        <v>0.02</v>
      </c>
      <c r="D41" s="477" t="str">
        <f aca="false">IF(ISERROR(VLOOKUP($A41,'liste reference'!$A$7:$D$904,2,0)),IF(ISERROR(VLOOKUP($A41,'liste reference'!$B$7:$D$904,1,0)),"",VLOOKUP($A41,'liste reference'!$B$7:$D$904,1,0)),VLOOKUP($A41,'liste reference'!$A$7:$D$904,2,0))</f>
        <v>Oenanthe crocata</v>
      </c>
      <c r="E41" s="496" t="e">
        <f aca="false">IF(D41="",0,VLOOKUP(D41,D$22:D40,1,0))</f>
        <v>#N/A</v>
      </c>
      <c r="F41" s="500" t="n">
        <f aca="false">($B41*$B$7+$C41*$C$7)/100</f>
        <v>0.0335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12</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Oenanthe crocata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1986</v>
      </c>
      <c r="Q41" s="486" t="n">
        <f aca="false">IF(ISTEXT(H41),"",(B41*$B$7/100)+(C41*$C$7/100))</f>
        <v>0.0335</v>
      </c>
      <c r="R41" s="487" t="n">
        <f aca="false">IF(OR(ISTEXT(H41),Q41=0),"",IF(Q41&lt;0.1,1,IF(Q41&lt;1,2,IF(Q41&lt;10,3,IF(Q41&lt;50,4,IF(Q41&gt;=50,5,""))))))</f>
        <v>1</v>
      </c>
      <c r="S41" s="487" t="n">
        <f aca="false">IF(ISERROR(R41*I41),0,R41*I41)</f>
        <v>12</v>
      </c>
      <c r="T41" s="487" t="n">
        <f aca="false">IF(ISERROR(R41*I41*J41),0,R41*I41*J41)</f>
        <v>24</v>
      </c>
      <c r="U41" s="499" t="n">
        <f aca="false">IF(ISERROR(R41*J41),0,R41*J41)</f>
        <v>2</v>
      </c>
      <c r="V41" s="488" t="str">
        <f aca="false">IF(AND(A41="",F41=0),"",IF(F41=0,"Il manque le(s) % de rec. !",""))</f>
        <v/>
      </c>
      <c r="W41" s="489"/>
      <c r="Y41" s="490" t="str">
        <f aca="false">IF(A41="new.cod","NEWCOD",IF(AND((Z41=""),ISTEXT(A41)),A41,IF(Z41="","",INDEX('liste reference'!$A$8:$A$904,Z41))))</f>
        <v>OENCRO</v>
      </c>
      <c r="Z41" s="280" t="n">
        <f aca="false">IF(ISERROR(MATCH(A41,'liste reference'!$A$8:$A$904,0)),IF(ISERROR(MATCH(A41,'liste reference'!$B$8:$B$904,0)),"",(MATCH(A41,'liste reference'!$B$8:$B$904,0))),(MATCH(A41,'liste reference'!$A$8:$A$904,0)))</f>
        <v>630</v>
      </c>
      <c r="AA41" s="491"/>
      <c r="AB41" s="492"/>
      <c r="AC41" s="492"/>
      <c r="BB41" s="280" t="n">
        <f aca="false">IF(A41="","",1)</f>
        <v>1</v>
      </c>
    </row>
    <row r="42" customFormat="false" ht="12.75" hidden="false" customHeight="false" outlineLevel="0" collapsed="false">
      <c r="A42" s="493" t="s">
        <v>2000</v>
      </c>
      <c r="B42" s="494" t="n">
        <v>0.005</v>
      </c>
      <c r="C42" s="495"/>
      <c r="D42" s="477" t="str">
        <f aca="false">IF(ISERROR(VLOOKUP($A42,'liste reference'!$A$7:$D$904,2,0)),IF(ISERROR(VLOOKUP($A42,'liste reference'!$B$7:$D$904,1,0)),"",VLOOKUP($A42,'liste reference'!$B$7:$D$904,1,0)),VLOOKUP($A42,'liste reference'!$A$7:$D$904,2,0))</f>
        <v>Phalaris arundinacea</v>
      </c>
      <c r="E42" s="496" t="e">
        <f aca="false">IF(D42="",0,VLOOKUP(D42,D$22:D41,1,0))</f>
        <v>#N/A</v>
      </c>
      <c r="F42" s="500" t="n">
        <f aca="false">($B42*$B$7+$C42*$C$7)/100</f>
        <v>0.00225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10</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Phalaris arundinacea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1577</v>
      </c>
      <c r="Q42" s="486" t="n">
        <f aca="false">IF(ISTEXT(H42),"",(B42*$B$7/100)+(C42*$C$7/100))</f>
        <v>0.00225</v>
      </c>
      <c r="R42" s="487" t="n">
        <f aca="false">IF(OR(ISTEXT(H42),Q42=0),"",IF(Q42&lt;0.1,1,IF(Q42&lt;1,2,IF(Q42&lt;10,3,IF(Q42&lt;50,4,IF(Q42&gt;=50,5,""))))))</f>
        <v>1</v>
      </c>
      <c r="S42" s="487" t="n">
        <f aca="false">IF(ISERROR(R42*I42),0,R42*I42)</f>
        <v>10</v>
      </c>
      <c r="T42" s="487" t="n">
        <f aca="false">IF(ISERROR(R42*I42*J42),0,R42*I42*J42)</f>
        <v>10</v>
      </c>
      <c r="U42" s="499" t="n">
        <f aca="false">IF(ISERROR(R42*J42),0,R42*J42)</f>
        <v>1</v>
      </c>
      <c r="V42" s="488" t="str">
        <f aca="false">IF(AND(A42="",F42=0),"",IF(F42=0,"Il manque le(s) % de rec. !",""))</f>
        <v/>
      </c>
      <c r="W42" s="489"/>
      <c r="Y42" s="490" t="str">
        <f aca="false">IF(A42="new.cod","NEWCOD",IF(AND((Z42=""),ISTEXT(A42)),A42,IF(Z42="","",INDEX('liste reference'!$A$8:$A$904,Z42))))</f>
        <v>PHAARU</v>
      </c>
      <c r="Z42" s="280" t="n">
        <f aca="false">IF(ISERROR(MATCH(A42,'liste reference'!$A$8:$A$904,0)),IF(ISERROR(MATCH(A42,'liste reference'!$B$8:$B$904,0)),"",(MATCH(A42,'liste reference'!$B$8:$B$904,0))),(MATCH(A42,'liste reference'!$A$8:$A$904,0)))</f>
        <v>634</v>
      </c>
      <c r="AA42" s="491"/>
      <c r="AB42" s="492"/>
      <c r="AC42" s="492"/>
      <c r="BB42" s="280" t="n">
        <f aca="false">IF(A42="","",1)</f>
        <v>1</v>
      </c>
    </row>
    <row r="43" customFormat="false" ht="12.75" hidden="false" customHeight="false" outlineLevel="0" collapsed="false">
      <c r="A43" s="493" t="s">
        <v>2686</v>
      </c>
      <c r="B43" s="494" t="n">
        <v>0.005</v>
      </c>
      <c r="C43" s="495" t="n">
        <v>0.005</v>
      </c>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0.005</v>
      </c>
      <c r="G43" s="479" t="str">
        <f aca="false">IF(A43="","",IF(ISERROR(VLOOKUP($A43,'liste reference'!$A$7:$P$904,13,0)),IF(ISERROR(VLOOKUP($A43,'liste reference'!$B$7:$P$904,12,0)),"    -",VLOOKUP($A43,'liste reference'!$B$7:$P$904,12,0)),VLOOKUP($A43,'liste reference'!$A$7:$P$904,13,0)))</f>
        <v>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Hypericum hircinum</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No</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NEWCOD</v>
      </c>
      <c r="Z43" s="280" t="str">
        <f aca="false">IF(ISERROR(MATCH(A43,'liste reference'!$A$8:$A$904,0)),IF(ISERROR(MATCH(A43,'liste reference'!$B$8:$B$904,0)),"",(MATCH(A43,'liste reference'!$B$8:$B$904,0))),(MATCH(A43,'liste reference'!$A$8:$A$904,0)))</f>
        <v/>
      </c>
      <c r="AA43" s="491"/>
      <c r="AB43" s="492" t="s">
        <v>2687</v>
      </c>
      <c r="AC43" s="492"/>
      <c r="BB43" s="280" t="n">
        <f aca="false">IF(A43="","",1)</f>
        <v>1</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1"/>
      <c r="M49" s="501"/>
      <c r="N49" s="501"/>
      <c r="O49" s="484"/>
      <c r="P49" s="502"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1"/>
      <c r="M52" s="501"/>
      <c r="N52" s="501"/>
      <c r="O52" s="484"/>
      <c r="P52" s="502"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IF(D54="",0,VLOOKUP(D54,D$21:D53,1,0))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X54" s="503"/>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4"/>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IF(D62="",0,VLOOKUP(D62,D$17:D60,1,0))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Saint Antoine</v>
      </c>
      <c r="B84" s="529" t="str">
        <f aca="false">C3</f>
        <v>Zonza</v>
      </c>
      <c r="C84" s="530" t="n">
        <f aca="false">A4</f>
        <v>41828</v>
      </c>
      <c r="D84" s="531" t="n">
        <f aca="false">IF(ISERROR(SUM($T$23:$T$82)/SUM($U$23:$U$82)),"",SUM($T$23:$T$82)/SUM($U$23:$U$82))</f>
        <v>13.4516129032258</v>
      </c>
      <c r="E84" s="532" t="n">
        <f aca="false">N13</f>
        <v>21</v>
      </c>
      <c r="F84" s="529" t="n">
        <f aca="false">N14</f>
        <v>20</v>
      </c>
      <c r="G84" s="529" t="n">
        <f aca="false">N15</f>
        <v>6</v>
      </c>
      <c r="H84" s="529" t="n">
        <f aca="false">N16</f>
        <v>8</v>
      </c>
      <c r="I84" s="529" t="n">
        <f aca="false">N17</f>
        <v>1</v>
      </c>
      <c r="J84" s="533" t="n">
        <f aca="false">N8</f>
        <v>9.6</v>
      </c>
      <c r="K84" s="531" t="n">
        <f aca="false">N9</f>
        <v>5.85149553533112</v>
      </c>
      <c r="L84" s="532" t="n">
        <f aca="false">N10</f>
        <v>0</v>
      </c>
      <c r="M84" s="532" t="n">
        <f aca="false">N11</f>
        <v>15</v>
      </c>
      <c r="N84" s="531" t="n">
        <f aca="false">O8</f>
        <v>1.25</v>
      </c>
      <c r="O84" s="531" t="n">
        <f aca="false">O9</f>
        <v>0.887411967464942</v>
      </c>
      <c r="P84" s="532" t="n">
        <f aca="false">O10</f>
        <v>0</v>
      </c>
      <c r="Q84" s="532" t="n">
        <f aca="false">O11</f>
        <v>3</v>
      </c>
      <c r="R84" s="532" t="n">
        <f aca="false">F21</f>
        <v>1.30075</v>
      </c>
      <c r="S84" s="532" t="n">
        <f aca="false">K11</f>
        <v>0</v>
      </c>
      <c r="T84" s="532" t="n">
        <f aca="false">K12</f>
        <v>6</v>
      </c>
      <c r="U84" s="532" t="n">
        <f aca="false">K13</f>
        <v>9</v>
      </c>
      <c r="V84" s="534" t="n">
        <f aca="false">K14</f>
        <v>2</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30</v>
      </c>
      <c r="T87" s="280"/>
      <c r="U87" s="280"/>
      <c r="V87" s="280"/>
    </row>
    <row r="88" customFormat="false" ht="12.75" hidden="true" customHeight="false" outlineLevel="0" collapsed="false">
      <c r="P88" s="280"/>
      <c r="Q88" s="280" t="s">
        <v>2691</v>
      </c>
      <c r="R88" s="280"/>
      <c r="S88" s="488" t="n">
        <f aca="false">VLOOKUP((S87),($S$23:$U$82),2,0)</f>
        <v>60</v>
      </c>
      <c r="T88" s="280"/>
      <c r="U88" s="280"/>
      <c r="V88" s="280"/>
    </row>
    <row r="89" customFormat="false" ht="12.75" hidden="true" customHeight="false" outlineLevel="0" collapsed="false">
      <c r="Q89" s="280" t="s">
        <v>2692</v>
      </c>
      <c r="R89" s="280"/>
      <c r="S89" s="488" t="n">
        <f aca="false">VLOOKUP((S87),($S$23:$U$82),3,0)</f>
        <v>4</v>
      </c>
      <c r="T89" s="280"/>
    </row>
    <row r="90" customFormat="false" ht="12.75" hidden="false" customHeight="false" outlineLevel="0" collapsed="false">
      <c r="Q90" s="280" t="s">
        <v>2693</v>
      </c>
      <c r="R90" s="280"/>
      <c r="S90" s="538" t="n">
        <f aca="false">IF(ISERROR(SUM($T$23:$T$82)/SUM($U$23:$U$82)),"",(SUM($T$23:$T$82)-S88)/(SUM($U$23:$U$82)-S89))</f>
        <v>13.2222222222222</v>
      </c>
      <c r="T90" s="280"/>
    </row>
    <row r="91" customFormat="false" ht="12.75" hidden="false" customHeight="false" outlineLevel="0" collapsed="false">
      <c r="Q91" s="487" t="s">
        <v>2694</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2695</v>
      </c>
      <c r="R92" s="280"/>
      <c r="S92" s="280" t="n">
        <f aca="false">MATCH(S87,$S$23:$S$82,0)</f>
        <v>3</v>
      </c>
      <c r="T92" s="280"/>
    </row>
    <row r="93" customFormat="false" ht="12.75" hidden="false" customHeight="false" outlineLevel="0" collapsed="false">
      <c r="Q93" s="487" t="s">
        <v>2696</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4"/>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3"/>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4"/>
      <c r="P59" s="502"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1"/>
      <c r="M60" s="501"/>
      <c r="N60" s="501"/>
      <c r="O60" s="484"/>
      <c r="P60" s="502"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2715</v>
      </c>
      <c r="G23" s="577"/>
      <c r="H23" s="576" t="s">
        <v>2715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2015-03-20T15:49:52Z</dcterms:modified>
  <cp:revision>0</cp:revision>
  <dc:subject/>
  <dc:title>Feuille d'aide au calcul de l'IBMR</dc:title>
</cp:coreProperties>
</file>