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9105 CAVO" sheetId="6" state="visible" r:id="rId8"/>
    <sheet name="modele" sheetId="7" state="hidden" r:id="rId9"/>
    <sheet name="liste codes réf" sheetId="8" state="hidden" r:id="rId10"/>
  </sheets>
  <definedNames>
    <definedName function="false" hidden="false" localSheetId="5" name="_xlnm.Print_Area" vbProcedure="false">'06219105 CAVO'!$A$1:$O$82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'06219105 CAVO'!$A$23:$J$84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<sst xmlns="http://schemas.openxmlformats.org/spreadsheetml/2006/main" count="7358" uniqueCount="2733">
  <si>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</si>
  <si>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</si>
  <si>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</si>
  <si>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</si>
  <si>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</si>
  <si>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</si>
  <si>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</si>
  <si>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</si>
  <si>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</si>
  <si>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</si>
  <si>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</si>
  <si>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</si>
  <si>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</si>
  <si>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</si>
  <si>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</si>
  <si>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</si>
  <si>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</si>
  <si>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</si>
  <si>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</si>
  <si>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</si>
  <si>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</si>
  <si>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</si>
  <si>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</si>
  <si>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</si>
  <si>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</si>
  <si>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</si>
  <si>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</si>
  <si>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</si>
  <si>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</si>
  <si>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</si>
  <si>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</si>
  <si>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</si>
  <si>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</si>
  <si>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</si>
  <si>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</si>
  <si>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</si>
  <si>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</si>
  <si>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</si>
  <si>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</si>
  <si>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</si>
  <si>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</si>
  <si>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</si>
  <si>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</si>
  <si>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</si>
  <si>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</si>
  <si>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</si>
  <si>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</si>
  <si>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</si>
  <si>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</si>
  <si>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</si>
  <si>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</si>
  <si>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</si>
  <si>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</si>
  <si>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</si>
  <si>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</si>
  <si>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</si>
  <si>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</si>
  <si>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</si>
  <si>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</si>
  <si>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</si>
  <si>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</si>
  <si>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</si>
  <si>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</si>
  <si>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</si>
  <si>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</si>
  <si>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</si>
  <si>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</si>
  <si>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</si>
  <si>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</si>
  <si>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</si>
  <si>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</si>
  <si>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</si>
  <si>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</si>
  <si>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</si>
  <si>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</si>
  <si>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</si>
  <si>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</si>
  <si>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</si>
  <si>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</si>
  <si>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</si>
  <si>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</si>
  <si>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</si>
  <si>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</si>
  <si>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</si>
  <si>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</si>
  <si>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</si>
  <si>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</si>
  <si>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</si>
  <si>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</si>
  <si>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</si>
  <si>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</si>
  <si>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</si>
  <si>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</si>
  <si>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</si>
  <si>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</si>
  <si>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</si>
  <si>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</si>
  <si>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</si>
  <si>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</si>
  <si>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</si>
  <si>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</si>
  <si>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</si>
  <si>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</si>
  <si>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</si>
  <si>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</si>
  <si>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</si>
  <si>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</si>
  <si>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</si>
  <si>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</si>
  <si>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</si>
  <si>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</si>
  <si>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</si>
  <si>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</si>
  <si>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</si>
  <si>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</si>
  <si>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</si>
  <si>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</si>
  <si>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</si>
  <si>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</si>
  <si>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</si>
  <si>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</si>
  <si>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</si>
  <si>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</si>
  <si>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</si>
  <si>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</si>
  <si>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</si>
  <si>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</si>
  <si>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</si>
  <si>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</si>
  <si>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</si>
  <si>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</si>
  <si>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</si>
  <si>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</si>
  <si>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</si>
  <si>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</si>
  <si>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</si>
  <si>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</si>
  <si>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</si>
  <si>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</si>
  <si>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</si>
  <si>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</si>
  <si>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</si>
  <si>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</si>
  <si>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</si>
  <si>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</si>
  <si>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</si>
  <si>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</si>
  <si>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</si>
  <si>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</si>
  <si>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</si>
  <si>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</si>
  <si>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</si>
  <si>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</si>
  <si>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</si>
  <si>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</si>
  <si>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</si>
  <si>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</si>
  <si>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</si>
  <si>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</si>
  <si>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</si>
  <si>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</si>
  <si>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</si>
  <si>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</si>
  <si>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</si>
  <si>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</si>
  <si>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</si>
  <si>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</si>
  <si>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</si>
  <si>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</si>
  <si>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</si>
  <si>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</si>
  <si>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</si>
  <si>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</si>
  <si>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</si>
  <si>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</si>
  <si>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</si>
  <si>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</si>
  <si>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</si>
  <si>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</si>
  <si>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</si>
  <si>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</si>
  <si>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</si>
  <si>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</si>
  <si>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</si>
  <si>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</si>
  <si>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</si>
  <si>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</si>
  <si>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</si>
  <si>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</si>
  <si>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</si>
  <si>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</si>
  <si>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</si>
  <si>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</si>
  <si>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</si>
  <si>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</si>
  <si>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</si>
  <si>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</si>
  <si>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</si>
  <si>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</si>
  <si>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</si>
  <si>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</si>
  <si>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</si>
  <si>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</si>
  <si>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</si>
  <si>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</si>
  <si>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</si>
  <si>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</si>
  <si>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</si>
  <si>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</si>
  <si>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</si>
  <si>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</si>
  <si>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</si>
  <si>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</si>
  <si>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</si>
  <si>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</si>
  <si>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</si>
  <si>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</si>
  <si>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</si>
  <si>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</si>
  <si>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</si>
  <si>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</si>
  <si>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</si>
  <si>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</si>
  <si>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</si>
  <si>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</si>
  <si>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</si>
  <si>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</si>
  <si>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</si>
  <si>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</si>
  <si>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</si>
  <si>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</si>
  <si>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</si>
  <si>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</si>
  <si>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</si>
  <si>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</si>
  <si>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</si>
  <si>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</si>
  <si>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</si>
  <si>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</si>
  <si>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</si>
  <si>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</si>
  <si>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</si>
  <si>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</si>
  <si>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</si>
  <si>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</si>
  <si>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</si>
  <si>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</si>
  <si>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</si>
  <si>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</si>
  <si>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</si>
  <si>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</si>
  <si>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</si>
  <si>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</si>
  <si>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</si>
  <si>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</si>
  <si>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</si>
  <si>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</si>
  <si>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</si>
  <si>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</si>
  <si>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</si>
  <si>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</si>
  <si>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</si>
  <si>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</si>
  <si>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</si>
  <si>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</si>
  <si>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</si>
  <si>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</si>
  <si>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</si>
  <si>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</si>
  <si>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</si>
  <si>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</si>
  <si>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</si>
  <si>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</si>
  <si>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</si>
  <si>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</si>
  <si>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</si>
  <si>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</si>
  <si>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</si>
  <si>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</si>
  <si>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</si>
  <si>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</si>
  <si>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</si>
  <si>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</si>
  <si>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</si>
  <si>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</si>
  <si>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</si>
  <si>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</si>
  <si>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</si>
  <si>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</si>
  <si>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</si>
  <si>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</si>
  <si>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</si>
  <si>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</si>
  <si>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</si>
  <si>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</si>
  <si>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</si>
  <si>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</si>
  <si>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</si>
  <si>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</si>
  <si>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</si>
  <si>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</si>
  <si>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</si>
  <si>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</si>
  <si>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</si>
  <si>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</si>
  <si>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</si>
  <si>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</si>
  <si>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</si>
  <si>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</si>
  <si>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</si>
  <si>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</si>
  <si>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</si>
  <si>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</si>
  <si>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</si>
  <si>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</si>
  <si>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</si>
  <si>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</si>
  <si>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</si>
  <si>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</si>
  <si>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</si>
  <si>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</si>
  <si>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</si>
  <si>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</si>
  <si>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</si>
  <si>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</si>
  <si>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</si>
  <si>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</si>
  <si>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</si>
  <si>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</si>
  <si>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</si>
  <si>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</si>
  <si>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</si>
  <si>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</si>
  <si>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</si>
  <si>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</si>
  <si>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</si>
  <si>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</si>
  <si>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</si>
  <si>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</si>
  <si>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</si>
  <si>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</si>
  <si>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</si>
  <si>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</si>
  <si>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</si>
  <si>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</si>
  <si>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</si>
  <si>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</si>
  <si>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</si>
  <si>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</si>
  <si>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</si>
  <si>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</si>
  <si>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</si>
  <si>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</si>
  <si>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</si>
  <si>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</si>
  <si>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</si>
  <si>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</si>
  <si>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</si>
  <si>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</si>
  <si>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</si>
  <si>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</si>
  <si>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</si>
  <si>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</si>
  <si>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</si>
  <si>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</si>
  <si>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</si>
  <si>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</si>
  <si>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</si>
  <si>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</si>
  <si>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</si>
  <si>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</si>
  <si>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</si>
  <si>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</si>
  <si>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</si>
  <si>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</si>
  <si>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</si>
  <si>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</si>
  <si>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</si>
  <si>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</si>
  <si>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</si>
  <si>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</si>
  <si>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</si>
  <si>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</si>
  <si>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</si>
  <si>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</si>
  <si>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</si>
  <si>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</si>
  <si>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</si>
  <si>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</si>
  <si>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</si>
  <si>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</si>
  <si>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</si>
  <si>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</si>
  <si>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</si>
  <si>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</si>
  <si>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</si>
  <si>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</si>
  <si>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</si>
  <si>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</si>
  <si>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</si>
  <si>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</si>
  <si>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</si>
  <si>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</si>
  <si>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</si>
  <si>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</si>
  <si>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</si>
  <si>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</si>
  <si>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</si>
  <si>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</si>
  <si>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</si>
  <si>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</si>
  <si>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</si>
  <si>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</si>
  <si>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</si>
  <si>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</si>
  <si>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</si>
  <si>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</si>
  <si>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</si>
  <si>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</si>
  <si>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</si>
  <si>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</si>
  <si>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</si>
  <si>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</si>
  <si>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</si>
  <si>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</si>
  <si>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</si>
  <si>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</si>
  <si>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</si>
  <si>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</si>
  <si>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</si>
  <si>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</si>
  <si>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</si>
  <si>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</si>
  <si>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</si>
  <si>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</si>
  <si>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</si>
  <si>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</si>
  <si>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</si>
  <si>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</si>
  <si>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</si>
  <si>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</si>
  <si>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</si>
  <si>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</si>
  <si>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</si>
  <si>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</si>
  <si>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</si>
  <si>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</si>
  <si>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</si>
  <si>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</si>
  <si>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</si>
  <si>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</si>
  <si>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</si>
  <si>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</si>
  <si>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</si>
  <si>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</si>
  <si>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</si>
  <si>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</si>
  <si>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</si>
  <si>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</si>
  <si>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</si>
  <si>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</si>
  <si>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</si>
  <si>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</si>
  <si>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</si>
  <si>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</si>
  <si>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</si>
  <si>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</si>
  <si>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</si>
  <si>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</si>
  <si>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</si>
  <si>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</si>
  <si>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</si>
  <si>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</si>
  <si>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</si>
  <si>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</si>
  <si>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</si>
  <si>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</si>
  <si>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</si>
  <si>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</si>
  <si>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</si>
  <si>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</si>
  <si>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</si>
  <si>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</si>
  <si>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</si>
  <si>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</si>
  <si>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</si>
  <si>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</si>
  <si>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</si>
  <si>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</si>
  <si>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</si>
  <si>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</si>
  <si>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</si>
  <si>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</si>
  <si>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</si>
  <si>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</si>
  <si>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</si>
  <si>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</si>
  <si>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</si>
  <si>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</si>
  <si>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</si>
  <si>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</si>
  <si>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</si>
  <si>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</si>
  <si>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</si>
  <si>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</si>
  <si>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</si>
  <si>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</si>
  <si>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</si>
  <si>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</si>
  <si>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</si>
  <si>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</si>
  <si>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</si>
  <si>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</si>
  <si>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</si>
  <si>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</si>
  <si>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</si>
  <si>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</si>
  <si>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</si>
  <si>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</si>
  <si>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</si>
  <si>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</si>
  <si>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</si>
  <si>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</si>
  <si>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</si>
  <si>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</si>
  <si>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</si>
  <si>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</si>
  <si>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</si>
  <si>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</si>
  <si>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</si>
  <si>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</si>
  <si>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</si>
  <si>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</si>
  <si>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</si>
  <si>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</si>
  <si>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</si>
  <si>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</si>
  <si>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</si>
  <si>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</si>
  <si>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</si>
  <si>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</si>
  <si>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</si>
  <si>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</si>
  <si>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</si>
  <si>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</si>
  <si>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</si>
  <si>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</si>
  <si>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</si>
  <si>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</si>
  <si>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</si>
  <si>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</si>
  <si>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</si>
  <si>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</si>
  <si>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</si>
  <si>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</si>
  <si>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</si>
  <si>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</si>
  <si>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</si>
  <si>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</si>
  <si>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</si>
  <si>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</si>
  <si>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</si>
  <si>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</si>
  <si>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</si>
  <si>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</si>
  <si>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</si>
  <si>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</si>
  <si>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</si>
  <si>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</si>
  <si>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</si>
  <si>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</si>
  <si>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</si>
  <si>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</si>
  <si>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</si>
  <si>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</si>
  <si>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</si>
  <si>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</si>
  <si>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</si>
  <si>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</si>
  <si>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</si>
  <si>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</si>
  <si>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</si>
  <si>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</si>
  <si>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</si>
  <si>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</si>
  <si>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</si>
  <si>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</si>
  <si>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</si>
  <si>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</si>
  <si>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</si>
  <si>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</si>
  <si>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</si>
  <si>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</si>
  <si>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</si>
  <si>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</si>
  <si>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</si>
  <si>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</si>
  <si>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</si>
  <si>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</si>
  <si>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</si>
  <si>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</si>
  <si>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</si>
  <si>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</si>
  <si>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</si>
  <si>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</si>
  <si>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</si>
  <si>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</si>
  <si>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</si>
  <si>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</si>
  <si>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</si>
  <si>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</si>
  <si>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</si>
  <si>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</si>
  <si>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</si>
  <si>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</si>
  <si>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</si>
  <si>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</si>
  <si>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</si>
  <si>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</si>
  <si>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</si>
  <si>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</si>
  <si>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</si>
  <si>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</si>
  <si>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</si>
  <si>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</si>
  <si>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</si>
  <si>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</si>
  <si>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</si>
  <si>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</si>
  <si>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</si>
  <si>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</si>
  <si>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</si>
  <si>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</si>
  <si>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</si>
  <si>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</si>
  <si>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</si>
  <si>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</si>
  <si>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</si>
  <si>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</si>
  <si>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</si>
  <si>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</si>
  <si>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</si>
  <si>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</si>
  <si>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</si>
  <si>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</si>
  <si>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</si>
  <si>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</si>
  <si>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</si>
  <si>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</si>
  <si>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</si>
  <si>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</si>
  <si>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</si>
  <si>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</si>
  <si>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</si>
  <si>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</si>
  <si>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</si>
  <si>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</si>
  <si>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</si>
  <si>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</si>
  <si>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</si>
  <si>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</si>
  <si>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</si>
  <si>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</si>
  <si>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</si>
  <si>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</si>
  <si>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</si>
  <si>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</si>
  <si>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</si>
  <si>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</si>
  <si>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</si>
  <si>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</si>
  <si>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</si>
  <si>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</si>
  <si>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</si>
  <si>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</si>
  <si>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</si>
  <si>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</si>
  <si>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</si>
  <si>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</si>
  <si>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</si>
  <si>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</si>
  <si>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</si>
  <si>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</si>
  <si>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</si>
  <si>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</si>
  <si>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</si>
  <si>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</si>
  <si>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</si>
  <si>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</si>
  <si>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</si>
  <si>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</si>
  <si>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</si>
  <si>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</si>
  <si>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</si>
  <si>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</si>
  <si>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</si>
  <si>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</si>
  <si>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</si>
  <si>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</si>
  <si>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</si>
  <si>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</si>
  <si>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</si>
  <si>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</si>
  <si>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</si>
  <si>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</si>
  <si>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</si>
  <si>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</si>
  <si>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</si>
  <si>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</si>
  <si>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</si>
  <si>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</si>
  <si>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</si>
  <si>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</si>
  <si>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</si>
  <si>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</si>
  <si>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</si>
  <si>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</si>
  <si>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</si>
  <si>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</si>
  <si>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</si>
  <si>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</si>
  <si>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</si>
  <si>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</si>
  <si>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</si>
  <si>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</si>
  <si>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</si>
  <si>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</si>
  <si>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</si>
  <si>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</si>
  <si>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</si>
  <si>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</si>
  <si>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</si>
  <si>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</si>
  <si>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</si>
  <si>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</si>
  <si>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</si>
  <si>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</si>
  <si>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</si>
  <si>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</si>
  <si>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</si>
  <si>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</si>
  <si>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</si>
  <si>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</si>
  <si>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</si>
  <si>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</si>
  <si>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</si>
  <si>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</si>
  <si>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</si>
  <si>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</si>
  <si>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</si>
  <si>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</si>
  <si>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</si>
  <si>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</si>
  <si>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</si>
  <si>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</si>
  <si>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</si>
  <si>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</si>
  <si>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</si>
  <si>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</si>
  <si>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</si>
  <si>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</si>
  <si>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</si>
  <si>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</si>
  <si>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</si>
  <si>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</si>
  <si>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</si>
  <si>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</si>
  <si>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</si>
  <si>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</si>
  <si>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</si>
  <si>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</si>
  <si>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</si>
  <si>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</si>
  <si>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</si>
  <si>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</si>
  <si>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</si>
  <si>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</si>
  <si>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</si>
  <si>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</si>
  <si>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</si>
  <si>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</si>
  <si>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</si>
  <si>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</si>
  <si>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</si>
  <si>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</si>
  <si>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</si>
  <si>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</si>
  <si>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</si>
  <si>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</si>
  <si>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</si>
  <si>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</si>
  <si>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</si>
  <si>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</si>
  <si>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</si>
  <si>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</si>
  <si>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</si>
  <si>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</si>
  <si>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</si>
  <si>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</si>
  <si>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</si>
  <si>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</si>
  <si>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</si>
  <si>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</si>
  <si>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</si>
  <si>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</si>
  <si>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</si>
  <si>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</si>
  <si>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</si>
  <si>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</si>
  <si>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</si>
  <si>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</si>
  <si>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</si>
  <si>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</si>
  <si>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</si>
  <si>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</si>
  <si>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</si>
  <si>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</si>
  <si>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</si>
  <si>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</si>
  <si>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</si>
  <si>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</si>
  <si>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</si>
  <si>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</si>
  <si>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</si>
  <si>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</si>
  <si>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</si>
  <si>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</si>
  <si>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</si>
  <si>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</si>
  <si>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</si>
  <si>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</si>
  <si>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</si>
  <si>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</si>
  <si>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</si>
  <si>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</si>
  <si>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</si>
  <si>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</si>
  <si>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</si>
  <si>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</si>
  <si>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</si>
  <si>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</si>
  <si>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</si>
  <si>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</si>
  <si>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</si>
  <si>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</si>
  <si>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</si>
  <si>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</si>
  <si>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</si>
  <si>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</si>
  <si>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</si>
  <si>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</si>
  <si>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</si>
  <si>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</si>
  <si>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</si>
  <si>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</si>
  <si>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</si>
  <si>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</si>
  <si>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</si>
  <si>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</si>
  <si>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</si>
  <si>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</si>
  <si>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</si>
  <si>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</si>
  <si>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</si>
  <si>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</si>
  <si>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</si>
  <si>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</si>
  <si>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</si>
  <si>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</si>
  <si>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</si>
  <si>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</si>
  <si>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</si>
  <si>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</si>
  <si>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</si>
  <si>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</si>
  <si>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</si>
  <si>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</si>
  <si>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</si>
  <si>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</si>
  <si>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</si>
  <si>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</si>
  <si>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</si>
  <si>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</si>
  <si>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</si>
  <si>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</si>
  <si>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</si>
  <si>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</si>
  <si>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</si>
  <si>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</si>
  <si>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</si>
  <si>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</si>
  <si>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</si>
  <si>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</si>
  <si>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</si>
  <si>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</si>
  <si>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</si>
  <si>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</si>
  <si>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</si>
  <si>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</si>
  <si>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</si>
  <si>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</si>
  <si>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</si>
  <si>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</si>
  <si>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</si>
  <si>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</si>
  <si>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</si>
  <si>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</si>
  <si>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</si>
  <si>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</si>
  <si>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</si>
  <si>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</si>
  <si>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</si>
  <si>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</si>
  <si>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</si>
  <si>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</si>
  <si>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</si>
  <si>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</si>
  <si>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</si>
  <si>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</si>
  <si>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</si>
  <si>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</si>
  <si>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</si>
  <si>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</si>
  <si>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</si>
  <si>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</si>
  <si>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</si>
  <si>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</si>
  <si>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</si>
  <si>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</si>
  <si>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</si>
  <si>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</si>
  <si>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</si>
  <si>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</si>
  <si>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</si>
  <si>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</si>
  <si>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</si>
  <si>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</si>
  <si>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</si>
  <si>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</si>
  <si>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</si>
  <si>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</si>
  <si>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</si>
  <si>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</si>
  <si>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</si>
  <si>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</si>
  <si>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</si>
  <si>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</si>
  <si>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</si>
  <si>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</si>
  <si>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</si>
  <si>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</si>
  <si>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</si>
  <si>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</si>
  <si>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</si>
  <si>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</si>
  <si>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</si>
  <si>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</si>
  <si>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</si>
  <si>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</si>
  <si>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</si>
  <si>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</si>
  <si>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</si>
  <si>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</si>
  <si>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</si>
  <si>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</si>
  <si>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</si>
  <si>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</si>
  <si>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</si>
  <si>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</si>
  <si>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</si>
  <si>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</si>
  <si>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</si>
  <si>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</si>
  <si>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</si>
  <si>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</si>
  <si>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</si>
  <si>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</si>
  <si>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</si>
  <si>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</si>
  <si>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</si>
  <si>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</si>
  <si>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</si>
  <si>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</si>
  <si>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</si>
  <si>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</si>
  <si>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</si>
  <si>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</si>
  <si>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</si>
  <si>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</si>
  <si>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</si>
  <si>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</si>
  <si>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</si>
  <si>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</si>
  <si>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</si>
  <si>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</si>
  <si>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</si>
  <si>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</si>
  <si>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</si>
  <si>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</si>
  <si>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</si>
  <si>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</si>
  <si>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</si>
  <si>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</si>
  <si>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</si>
  <si>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</si>
  <si>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</si>
  <si>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</si>
  <si>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</si>
  <si>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</si>
  <si>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</si>
  <si>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</si>
  <si>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</si>
  <si>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</si>
  <si>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</si>
  <si>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</si>
  <si>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</si>
  <si>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</si>
  <si>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</si>
  <si>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</si>
  <si>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</si>
  <si>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</si>
  <si>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</si>
  <si>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</si>
  <si>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</si>
  <si>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</si>
  <si>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</si>
  <si>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</si>
  <si>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</si>
  <si>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</si>
  <si>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</si>
  <si>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</si>
  <si>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</si>
  <si>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</si>
  <si>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</si>
  <si>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</si>
  <si>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</si>
  <si>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</si>
  <si>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</si>
  <si>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</si>
  <si>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</si>
  <si>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</si>
  <si>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</si>
  <si>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</si>
  <si>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</si>
  <si>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</si>
  <si>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</si>
  <si>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</si>
  <si>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</si>
  <si>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</si>
  <si>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</si>
  <si>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</si>
  <si>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</si>
  <si>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</si>
  <si>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</si>
  <si>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</si>
  <si>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</si>
  <si>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</si>
  <si>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</si>
  <si>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</si>
  <si>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</si>
  <si>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</si>
  <si>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</si>
  <si>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</si>
  <si>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</si>
  <si>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</si>
  <si>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</si>
  <si>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</si>
  <si>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</si>
  <si>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</si>
  <si>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</si>
  <si>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</si>
  <si>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</si>
  <si>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</si>
  <si>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</si>
  <si>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</si>
  <si>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</si>
  <si>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</si>
  <si>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</si>
  <si>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</si>
  <si>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</si>
  <si>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</si>
  <si>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</si>
  <si>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</si>
  <si>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</si>
  <si>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</si>
  <si>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</si>
  <si>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</si>
  <si>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</si>
  <si>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</si>
  <si>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</si>
  <si>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</si>
  <si>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</si>
  <si>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</si>
  <si>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</si>
  <si>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</si>
  <si>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</si>
  <si>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</si>
  <si>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</si>
  <si>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</si>
  <si>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</si>
  <si>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</si>
  <si>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</si>
  <si>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</si>
  <si>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</si>
  <si>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</si>
  <si>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</si>
  <si>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</si>
  <si>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</si>
  <si>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</si>
  <si>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</si>
  <si>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</si>
  <si>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</si>
  <si>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</si>
  <si>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</si>
  <si>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</si>
  <si>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</si>
  <si>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</si>
  <si>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</si>
  <si>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</si>
  <si>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</si>
  <si>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</si>
  <si>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</si>
  <si>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</si>
  <si>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</si>
  <si>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</si>
  <si>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</si>
  <si>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</si>
  <si>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</si>
  <si>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</si>
  <si>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</si>
  <si>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</si>
  <si>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</si>
  <si>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</si>
  <si>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</si>
  <si>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</si>
  <si>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</si>
  <si>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</si>
  <si>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</si>
  <si>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</si>
  <si>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</si>
  <si>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</si>
  <si>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</si>
  <si>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</si>
  <si>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</si>
  <si>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</si>
  <si>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</si>
  <si>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</si>
  <si>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</si>
  <si>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</si>
  <si>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</si>
  <si>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</si>
  <si>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</si>
  <si>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</si>
  <si>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</si>
  <si>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</si>
  <si>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</si>
  <si>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</si>
  <si>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</si>
  <si>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</si>
  <si>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</si>
  <si>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</si>
  <si>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</si>
  <si>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</si>
  <si>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</si>
  <si>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</si>
  <si>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</si>
  <si>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</si>
  <si>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</si>
  <si>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</si>
  <si>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</si>
  <si>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</si>
  <si>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</si>
  <si>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</si>
  <si>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</si>
  <si>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</si>
  <si>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</si>
  <si>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</si>
  <si>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</si>
  <si>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</si>
  <si>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</si>
  <si>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</si>
  <si>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</si>
  <si>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</si>
  <si>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</si>
  <si>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</si>
  <si>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</si>
  <si>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</si>
  <si>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</si>
  <si>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</si>
  <si>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</si>
  <si>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</si>
  <si>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</si>
  <si>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</si>
  <si>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</si>
  <si>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</si>
  <si>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</si>
  <si>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</si>
  <si>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</si>
  <si>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</si>
  <si>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</si>
  <si>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</si>
  <si>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</si>
  <si>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</si>
  <si>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</si>
  <si>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</si>
  <si>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</si>
  <si>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</si>
  <si>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</si>
  <si>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</si>
  <si>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</si>
  <si>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</si>
  <si>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</si>
  <si>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</si>
  <si>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</si>
  <si>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</si>
  <si>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</si>
  <si>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</si>
  <si>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</si>
  <si>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</si>
  <si>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</si>
  <si>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</si>
  <si>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</si>
  <si>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</si>
  <si>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</si>
  <si>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</si>
  <si>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</si>
  <si>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</si>
  <si>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</si>
  <si>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</si>
  <si>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</si>
  <si>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</si>
  <si>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</si>
  <si>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</si>
  <si>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</si>
  <si>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</si>
  <si>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</si>
  <si>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</si>
  <si>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</si>
  <si>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</si>
  <si>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</si>
  <si>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</si>
  <si>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</si>
  <si>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</si>
  <si>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</si>
  <si>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</si>
  <si>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</si>
  <si>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</si>
  <si>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</si>
  <si>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</si>
  <si>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</si>
  <si>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</si>
  <si>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</si>
  <si>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</si>
  <si>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</si>
  <si>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</si>
  <si>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</si>
  <si>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</si>
  <si>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</si>
  <si>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</si>
  <si>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</si>
  <si>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</si>
  <si>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</si>
  <si>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</si>
  <si>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</si>
  <si>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</si>
  <si>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</si>
  <si>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</si>
  <si>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</si>
  <si>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</si>
  <si>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</si>
  <si>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</si>
  <si>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</si>
  <si>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</si>
  <si>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</si>
  <si>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</si>
  <si>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</si>
  <si>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</si>
  <si>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</si>
  <si>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</si>
  <si>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</si>
  <si>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</si>
  <si>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</si>
  <si>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</si>
  <si>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</si>
  <si>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</si>
  <si>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</si>
  <si>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</si>
  <si>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</si>
  <si>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</si>
  <si>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</si>
  <si>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</si>
  <si>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</si>
  <si>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</si>
  <si>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</si>
  <si>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</si>
  <si>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</si>
  <si>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</si>
  <si>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</si>
  <si>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</si>
  <si>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</si>
  <si>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</si>
  <si>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</si>
  <si>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</si>
  <si>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</si>
  <si>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</si>
  <si>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</si>
  <si>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</si>
  <si>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</si>
  <si>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</si>
  <si>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</si>
  <si>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</si>
  <si>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</si>
  <si>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</si>
  <si>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</si>
  <si>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</si>
  <si>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</si>
  <si>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</si>
  <si>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</si>
  <si>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</si>
  <si>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</si>
  <si>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</si>
  <si>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</si>
  <si>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</si>
  <si>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</si>
  <si>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</si>
  <si>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</si>
  <si>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</si>
  <si>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</si>
  <si>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</si>
  <si>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</si>
  <si>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</si>
  <si>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</si>
  <si>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</si>
  <si>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</si>
  <si>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</si>
  <si>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</si>
  <si>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</si>
  <si>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</si>
  <si>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</si>
  <si>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</si>
  <si>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</si>
  <si>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</si>
  <si>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</si>
  <si>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</si>
  <si>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</si>
  <si>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</si>
  <si>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</si>
  <si>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</si>
  <si>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</si>
  <si>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</si>
  <si>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</si>
  <si>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</si>
  <si>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</si>
  <si>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</si>
  <si>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</si>
  <si>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</si>
  <si>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</si>
  <si>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</si>
  <si>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</si>
  <si>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</si>
  <si>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</si>
  <si>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</si>
  <si>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</si>
  <si>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</si>
  <si>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</si>
  <si>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</si>
  <si>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</si>
  <si>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</si>
  <si>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</si>
  <si>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</si>
  <si>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</si>
  <si>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</si>
  <si>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</si>
  <si>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</si>
  <si>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</si>
  <si>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</si>
  <si>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</si>
  <si>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</si>
  <si>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</si>
  <si>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</si>
  <si>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</si>
  <si>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</si>
  <si>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</si>
  <si>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</si>
  <si>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</si>
  <si>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</si>
  <si>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</si>
  <si>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</si>
  <si>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</si>
  <si>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</si>
  <si>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</si>
  <si>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</si>
  <si>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</si>
  <si>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</si>
  <si>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</si>
  <si>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</si>
  <si>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</si>
  <si>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</si>
  <si>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</si>
  <si>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</si>
  <si>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</si>
  <si>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</si>
  <si>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</si>
  <si>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</si>
  <si>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</si>
  <si>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</si>
  <si>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</si>
  <si>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</si>
  <si>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</si>
  <si>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</si>
  <si>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</si>
  <si>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</si>
  <si>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</si>
  <si>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</si>
  <si>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</si>
  <si>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</si>
  <si>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</si>
  <si>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</si>
  <si>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</si>
  <si>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</si>
  <si>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</si>
  <si>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</si>
  <si>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</si>
  <si>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</si>
  <si>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</si>
  <si>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</si>
  <si>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</si>
  <si>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</si>
  <si>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</si>
  <si>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</si>
  <si>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</si>
  <si>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</si>
  <si>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</si>
  <si>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</si>
  <si>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</si>
  <si>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</si>
  <si>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</si>
  <si>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</si>
  <si>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</si>
  <si>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</si>
  <si>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</si>
  <si>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</si>
  <si>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</si>
  <si>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</si>
  <si>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</si>
  <si>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</si>
  <si>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</si>
  <si>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</si>
  <si>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</si>
  <si>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</si>
  <si>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</si>
  <si>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</si>
  <si>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</si>
  <si>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</si>
  <si>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</si>
  <si>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</si>
  <si>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</si>
  <si>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</si>
  <si>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</si>
  <si>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</si>
  <si>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</si>
  <si>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</si>
  <si>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</si>
  <si>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</si>
  <si>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</si>
  <si>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</si>
  <si>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</si>
  <si>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</si>
  <si>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</si>
  <si>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</si>
  <si>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</si>
  <si>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</si>
  <si>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</si>
  <si>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</si>
  <si>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</si>
  <si>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</si>
  <si>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</si>
  <si>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</si>
  <si>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</si>
  <si>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</si>
  <si>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</si>
  <si>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</si>
  <si>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</si>
  <si>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</si>
  <si>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</si>
  <si>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</si>
  <si>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</si>
  <si>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</si>
  <si>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</si>
  <si>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</si>
  <si>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</si>
  <si>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</si>
  <si>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</si>
  <si>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</si>
  <si>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</si>
  <si>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</si>
  <si>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</si>
  <si>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</si>
  <si>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</si>
  <si>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</si>
  <si>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</si>
  <si>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</si>
  <si>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</si>
  <si>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</si>
  <si>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</si>
  <si>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</si>
  <si>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</si>
  <si>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</si>
  <si>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</si>
  <si>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</si>
  <si>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</si>
  <si>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</si>
  <si>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</si>
  <si>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</si>
  <si>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</si>
  <si>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</si>
  <si>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</si>
  <si>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</si>
  <si>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</si>
  <si>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</si>
  <si>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</si>
  <si>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</si>
  <si>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</si>
  <si>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</si>
  <si>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</si>
  <si>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</si>
  <si>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</si>
  <si>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</si>
  <si>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</si>
  <si>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</si>
  <si>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</si>
  <si>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</si>
  <si>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</si>
  <si>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</si>
  <si>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</si>
  <si>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</si>
  <si>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</si>
  <si>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</si>
  <si>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</si>
  <si>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</si>
  <si>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</si>
  <si>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</si>
  <si>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</si>
  <si>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</si>
  <si>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</si>
  <si>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</si>
  <si>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</si>
  <si>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</si>
  <si>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</si>
  <si>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</si>
  <si>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</si>
  <si>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</si>
  <si>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</si>
  <si>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</si>
  <si>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</si>
  <si>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</si>
  <si>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</si>
  <si>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</si>
  <si>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</si>
  <si>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</si>
  <si>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</si>
  <si>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</si>
  <si>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</si>
  <si>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</si>
  <si>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</si>
  <si>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</si>
  <si>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</si>
  <si>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</si>
  <si>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</si>
  <si>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</si>
  <si>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</si>
  <si>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</si>
  <si>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</si>
  <si>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</si>
  <si>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</si>
  <si>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</si>
  <si>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</si>
  <si>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</si>
  <si>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</si>
  <si>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</si>
  <si>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</si>
  <si>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</si>
  <si>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</si>
  <si>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</si>
  <si>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</si>
  <si>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</si>
  <si>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</si>
  <si>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</si>
  <si>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</si>
  <si>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</si>
  <si>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</si>
  <si>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</si>
  <si>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</si>
  <si>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</si>
  <si>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</si>
  <si>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</si>
  <si>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</si>
  <si>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</si>
  <si>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</si>
  <si>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</si>
  <si>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</si>
  <si>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</si>
  <si>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</si>
  <si>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</si>
  <si>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</si>
  <si>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</si>
  <si>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</si>
  <si>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</si>
  <si>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</si>
  <si>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</si>
  <si>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</si>
  <si>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</si>
  <si>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</si>
  <si>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</si>
  <si>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</si>
  <si>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</si>
  <si>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</si>
  <si>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</si>
  <si>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</si>
  <si>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</si>
  <si>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</si>
  <si>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</si>
  <si>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</si>
  <si>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</si>
  <si>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</si>
  <si>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</si>
  <si>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</si>
  <si>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</si>
  <si>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</si>
  <si>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</si>
  <si>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</si>
  <si>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</si>
  <si>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</si>
  <si>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</si>
  <si>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</si>
  <si>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</si>
  <si>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</si>
  <si>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</si>
  <si>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</si>
  <si>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</si>
  <si>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</si>
  <si>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</si>
  <si>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</si>
  <si>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</si>
  <si>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</si>
  <si>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</si>
  <si>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</si>
  <si>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</si>
  <si>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</si>
  <si>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</si>
  <si>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</si>
  <si>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</si>
  <si>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</si>
  <si>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</si>
  <si>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</si>
  <si>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</si>
  <si>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</si>
  <si>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</si>
  <si>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</si>
  <si>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</si>
  <si>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</si>
  <si>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</si>
  <si>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</si>
  <si>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</si>
  <si>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</si>
  <si>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</si>
  <si>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</si>
  <si>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</si>
  <si>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</si>
  <si>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</si>
  <si>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</si>
  <si>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</si>
  <si>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</si>
  <si>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</si>
  <si>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</si>
  <si>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</si>
  <si>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</si>
  <si>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</si>
  <si>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</si>
  <si>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</si>
  <si>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</si>
  <si>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</si>
  <si>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</si>
  <si>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</si>
  <si>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</si>
  <si>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</si>
  <si>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</si>
  <si>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</si>
  <si>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</si>
  <si>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</si>
  <si>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</si>
  <si>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</si>
  <si>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</si>
  <si>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</si>
  <si>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</si>
  <si>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</si>
  <si>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</si>
  <si>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</si>
  <si>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</si>
  <si>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</si>
  <si>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</si>
  <si>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</si>
  <si>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</si>
  <si>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</si>
  <si>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</si>
  <si>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</si>
  <si>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</si>
  <si>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</si>
  <si>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</si>
  <si>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</si>
  <si>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</si>
  <si>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</si>
  <si>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</si>
  <si>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</si>
  <si>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</si>
  <si>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</si>
  <si>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</si>
  <si>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</si>
  <si>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</si>
  <si>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</si>
  <si>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</si>
  <si>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</si>
  <si>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</si>
  <si>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</si>
  <si>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</si>
  <si>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</si>
  <si>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</si>
  <si>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</si>
  <si>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</si>
  <si>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</si>
  <si>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</si>
  <si>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</si>
  <si>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</si>
  <si>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</si>
  <si>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</si>
  <si>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</si>
  <si>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</si>
  <si>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</si>
  <si>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</si>
  <si>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</si>
  <si>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</si>
  <si>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</si>
  <si>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</si>
  <si>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</si>
  <si>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</si>
  <si>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</si>
  <si>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</si>
  <si>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</si>
  <si>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</si>
  <si>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</si>
  <si>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</si>
  <si>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</si>
  <si>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</si>
  <si>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</si>
  <si>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</si>
  <si>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</si>
  <si>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</si>
  <si>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</si>
  <si>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</si>
  <si>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</si>
  <si>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</si>
  <si>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</si>
  <si>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</si>
  <si>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</si>
  <si>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</si>
  <si>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</si>
  <si>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</si>
  <si>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</si>
  <si>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</si>
  <si>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</si>
  <si>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</si>
  <si>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</si>
  <si>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</si>
  <si>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</si>
  <si>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</si>
  <si>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</si>
  <si>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</si>
  <si>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</si>
  <si>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</si>
  <si>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</si>
  <si>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</si>
  <si>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</si>
  <si>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</si>
  <si>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</si>
  <si>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</si>
  <si>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</si>
  <si>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</si>
  <si>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</si>
  <si>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</si>
  <si>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</si>
  <si>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</si>
  <si>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</si>
  <si>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</si>
  <si>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</si>
  <si>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</si>
  <si>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</si>
  <si>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</si>
  <si>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</si>
  <si>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</si>
  <si>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</si>
  <si>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</si>
  <si>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</si>
  <si>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</si>
  <si>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</si>
  <si>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</si>
  <si>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</si>
  <si>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</si>
  <si>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</si>
  <si>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</si>
  <si>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</si>
  <si>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</si>
  <si>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</si>
  <si>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</si>
  <si>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</si>
  <si>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</si>
  <si>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</si>
  <si>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</si>
  <si>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</si>
  <si>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</si>
  <si>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</si>
  <si>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</si>
  <si>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</si>
  <si>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</si>
  <si>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</si>
  <si>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</si>
  <si>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</si>
  <si>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</si>
  <si>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</si>
  <si>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</si>
  <si>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</si>
  <si>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</si>
  <si>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</si>
  <si>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</si>
  <si>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</si>
  <si>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</si>
  <si>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</si>
  <si>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</si>
  <si>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</si>
  <si>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</si>
  <si>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</si>
  <si>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</si>
  <si>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</si>
  <si>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</si>
  <si>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</si>
  <si>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</si>
  <si>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</si>
  <si>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</si>
  <si>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</si>
  <si>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</si>
  <si>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</si>
  <si>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</si>
  <si>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</si>
  <si>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</si>
  <si>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</si>
  <si>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</si>
  <si>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</si>
  <si>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</si>
  <si>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</si>
  <si>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</si>
  <si>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</si>
  <si>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</si>
  <si>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</si>
  <si>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</si>
  <si>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</si>
  <si>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</si>
  <si>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</si>
  <si>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</si>
  <si>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</si>
  <si>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</si>
  <si>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</si>
  <si>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</si>
  <si>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</si>
  <si>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</si>
  <si>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</si>
  <si>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</si>
  <si>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</si>
  <si>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</si>
  <si>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</si>
  <si>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</si>
  <si>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</si>
  <si>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</si>
  <si>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</si>
  <si>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</si>
  <si>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</si>
  <si>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</si>
  <si>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</si>
  <si>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</si>
  <si>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</si>
  <si>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</si>
  <si>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</si>
  <si>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</si>
  <si>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</si>
  <si>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</si>
  <si>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</si>
  <si>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</si>
  <si>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</si>
  <si>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</si>
  <si>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</si>
  <si>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</si>
  <si>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</si>
  <si>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</si>
  <si>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</si>
  <si>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</si>
  <si>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</si>
  <si>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</si>
  <si>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</si>
  <si>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</si>
  <si>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</si>
  <si>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</si>
  <si>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</si>
  <si>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</si>
  <si>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</si>
  <si>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</si>
  <si>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</si>
  <si>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</si>
  <si>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</si>
  <si>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</si>
  <si>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</si>
  <si>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</si>
  <si>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</si>
  <si>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</si>
  <si>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</si>
  <si>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</si>
  <si>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</si>
  <si>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</si>
  <si>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</si>
  <si>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</si>
  <si>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</si>
  <si>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</si>
  <si>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</si>
  <si>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</si>
  <si>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</si>
  <si>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</si>
  <si>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</si>
  <si>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</si>
  <si>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</si>
  <si>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</si>
  <si>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</si>
  <si>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</si>
  <si>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</si>
  <si>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</si>
  <si>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</si>
  <si>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</si>
  <si>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</si>
  <si>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</si>
  <si>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</si>
  <si>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</si>
  <si>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</si>
  <si>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</si>
  <si>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</si>
  <si>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</si>
  <si>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</si>
  <si>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</si>
  <si>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</si>
  <si>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</si>
  <si>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</si>
  <si>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</si>
  <si>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</si>
  <si>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</si>
  <si>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</si>
  <si>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</si>
  <si>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</si>
  <si>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</si>
  <si>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</si>
  <si>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</si>
  <si>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</si>
  <si>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</si>
  <si>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</si>
  <si>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</si>
  <si>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</si>
  <si>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</si>
  <si>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</si>
  <si>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</si>
  <si>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</si>
  <si>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</si>
  <si>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</si>
  <si>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</si>
  <si>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</si>
  <si>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</si>
  <si>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</si>
  <si>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</si>
  <si>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</si>
  <si>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</si>
  <si>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</si>
  <si>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</si>
  <si>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</si>
  <si>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</si>
  <si>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</si>
  <si>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</si>
  <si>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</si>
  <si>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</si>
  <si>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</si>
  <si>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</si>
  <si>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</si>
  <si>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</si>
  <si>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</si>
  <si>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</si>
  <si>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</si>
  <si>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</si>
  <si>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</si>
  <si>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</si>
  <si>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</si>
  <si>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</si>
  <si>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</si>
  <si>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</si>
  <si>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</si>
  <si>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</si>
  <si>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</si>
  <si>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</si>
  <si>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</si>
  <si>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</si>
  <si>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</si>
  <si>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</si>
  <si>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</si>
  <si>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</si>
  <si>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</si>
  <si>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</si>
  <si>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</si>
  <si>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</si>
  <si>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</si>
  <si>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</si>
  <si>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</si>
  <si>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</si>
  <si>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</si>
  <si>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</si>
  <si>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</si>
  <si>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</si>
  <si>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</si>
  <si>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</si>
  <si>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</si>
  <si>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</si>
  <si>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</si>
  <si>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</si>
  <si>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</si>
  <si>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</si>
  <si>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</si>
  <si>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</si>
  <si>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</si>
  <si>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</si>
  <si>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</si>
  <si>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</si>
  <si>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</si>
  <si>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</si>
  <si>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</si>
  <si>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</si>
  <si>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</si>
  <si>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</si>
  <si>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</si>
  <si>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</si>
  <si>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</si>
  <si>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</si>
  <si>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</si>
  <si>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</si>
  <si>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</si>
  <si>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</si>
  <si>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</si>
  <si>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</si>
  <si>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</si>
  <si>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</si>
  <si>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</si>
  <si>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</si>
  <si>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</si>
  <si>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</si>
  <si>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</si>
  <si>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</si>
  <si>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</si>
  <si>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</si>
  <si>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</si>
  <si>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</si>
  <si>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</si>
  <si>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</si>
  <si>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</si>
  <si>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</si>
  <si>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</si>
  <si>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</si>
  <si>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</si>
  <si>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</si>
  <si>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</si>
  <si>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</si>
  <si>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</si>
  <si>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</si>
  <si>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</si>
  <si>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</si>
  <si>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</si>
  <si>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</si>
  <si>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</si>
  <si>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</si>
  <si>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</si>
  <si>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</si>
  <si>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</si>
  <si>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</si>
  <si>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</si>
  <si>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</si>
  <si>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</si>
  <si>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</si>
  <si>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</si>
  <si>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</si>
  <si>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</si>
  <si>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</si>
  <si>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</si>
  <si>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</si>
  <si>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</si>
  <si>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</si>
  <si>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</si>
  <si>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</si>
  <si>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</si>
  <si>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</si>
  <si>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</si>
  <si>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</si>
  <si>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</si>
  <si>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</si>
  <si>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</si>
  <si>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</si>
  <si>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</si>
  <si>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</si>
  <si>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</si>
  <si>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</si>
  <si>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</si>
  <si>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</si>
  <si>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</si>
  <si>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</si>
  <si>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</si>
  <si>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</si>
  <si>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</si>
  <si>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</si>
  <si>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</si>
  <si>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</si>
  <si>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</si>
  <si>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</si>
  <si>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</si>
  <si>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</si>
  <si>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</si>
  <si>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</si>
  <si>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</si>
  <si>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</si>
  <si>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</si>
  <si>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</si>
  <si>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</si>
  <si>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</si>
  <si>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</si>
  <si>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</si>
  <si>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</si>
  <si>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</si>
  <si>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</si>
  <si>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</si>
  <si>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</si>
  <si>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</si>
  <si>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</si>
  <si>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</si>
  <si>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</si>
  <si>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</si>
  <si>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</si>
  <si>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</si>
  <si>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</si>
  <si>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</si>
  <si>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</si>
  <si>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</si>
  <si>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</si>
  <si>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</si>
  <si>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</si>
  <si>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</si>
  <si>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</si>
  <si>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</si>
  <si>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</si>
  <si>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</si>
  <si>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</si>
  <si>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</si>
  <si>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</si>
  <si>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</si>
  <si>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</si>
  <si>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</si>
  <si>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</si>
  <si>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</si>
  <si>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</si>
  <si>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</si>
  <si>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</si>
  <si>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</si>
  <si>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</si>
  <si>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</si>
  <si>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</si>
  <si>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</si>
  <si>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</si>
  <si>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</si>
  <si>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</si>
  <si>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</si>
  <si>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</si>
  <si>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</si>
  <si>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</si>
  <si>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</si>
  <si>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</si>
  <si>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</si>
  <si>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</si>
  <si>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</si>
  <si>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</si>
  <si>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</si>
  <si>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</si>
  <si>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</si>
  <si>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</si>
  <si>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</si>
  <si>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</si>
  <si>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</si>
  <si>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</si>
  <si>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</si>
  <si>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</si>
  <si>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</si>
  <si>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</si>
  <si>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</si>
  <si>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</si>
  <si>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</si>
  <si>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</si>
  <si>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</si>
  <si>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</si>
  <si>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</si>
  <si>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</si>
  <si>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</si>
  <si>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</si>
  <si>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</si>
  <si>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</si>
  <si>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</si>
  <si>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</si>
  <si>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</si>
  <si>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</si>
  <si>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</si>
  <si>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</si>
  <si>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</si>
  <si>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</si>
  <si>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</si>
  <si>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</si>
  <si>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</si>
  <si>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</si>
  <si>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</si>
  <si>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</si>
  <si>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</si>
  <si>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</si>
  <si>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</si>
  <si>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</si>
  <si>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</si>
  <si>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</si>
  <si>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</si>
  <si>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</si>
  <si>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</si>
  <si>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</si>
  <si>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</si>
  <si>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</si>
  <si>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</si>
  <si>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</si>
  <si>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</si>
  <si>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</si>
  <si>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</si>
  <si>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</si>
  <si>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</si>
  <si>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</si>
  <si>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</si>
  <si>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</si>
  <si>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</si>
  <si>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</si>
  <si>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</si>
  <si>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</si>
  <si>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</si>
  <si>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</si>
  <si>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</si>
  <si>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</si>
  <si>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</si>
  <si>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</si>
  <si>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</si>
  <si>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</si>
  <si>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</si>
  <si>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</si>
  <si>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</si>
  <si>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</si>
  <si>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</si>
  <si>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</si>
  <si>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</si>
  <si>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</si>
  <si>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</si>
  <si>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</si>
  <si>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</si>
  <si>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</si>
  <si>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</si>
  <si>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</si>
  <si>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</si>
  <si>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</si>
  <si>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</si>
  <si>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</si>
  <si>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</si>
  <si>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</si>
  <si>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</si>
  <si>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</si>
  <si>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</si>
  <si>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</si>
  <si>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</si>
  <si>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</si>
  <si>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</si>
  <si>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</si>
  <si>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</si>
  <si>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</si>
  <si>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</si>
  <si>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</si>
  <si>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</si>
  <si>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</si>
  <si>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</si>
  <si>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</si>
  <si>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</si>
  <si>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</si>
  <si>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</si>
  <si>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</si>
  <si>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</si>
  <si>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</si>
  <si>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</si>
  <si>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</si>
  <si>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</si>
  <si>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</si>
  <si>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</si>
  <si>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</si>
  <si>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</si>
  <si>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</si>
  <si>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</si>
  <si>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</si>
  <si>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</si>
  <si>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</si>
  <si>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</si>
  <si>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</si>
  <si>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</si>
  <si>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</si>
  <si>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</si>
  <si>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</si>
  <si>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</si>
  <si>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</si>
  <si>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</si>
  <si>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</si>
  <si>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</si>
  <si>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</si>
  <si>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</si>
  <si>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</si>
  <si>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</si>
  <si>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</si>
  <si>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</si>
  <si>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</si>
  <si>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</si>
  <si>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</si>
  <si>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</si>
  <si>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</si>
  <si>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</si>
  <si>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</si>
  <si>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</si>
  <si>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</si>
  <si>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</si>
  <si>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</si>
  <si>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</si>
  <si>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</si>
  <si>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</si>
  <si>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</si>
  <si>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</si>
  <si>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</si>
  <si>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</si>
  <si>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</si>
  <si>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</si>
  <si>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</si>
  <si>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</si>
  <si>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</si>
  <si>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</si>
  <si>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</si>
  <si>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</si>
  <si>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</si>
  <si>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</si>
  <si>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</si>
  <si>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</si>
  <si>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</si>
  <si>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</si>
  <si>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</si>
  <si>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</si>
  <si>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</si>
  <si>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</si>
  <si>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</si>
  <si>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</si>
  <si>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</si>
  <si>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</si>
  <si>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</si>
  <si>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</si>
  <si>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</si>
  <si>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</si>
  <si>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</si>
  <si>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</si>
  <si>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</si>
  <si>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</si>
  <si>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</si>
  <si>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</si>
  <si>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</si>
  <si>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</si>
  <si>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</si>
  <si>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</si>
  <si>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</si>
  <si>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</si>
  <si>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</si>
  <si>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</si>
  <si>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</si>
  <si>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</si>
  <si>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</si>
  <si>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</si>
  <si>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</si>
  <si>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</si>
  <si>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</si>
  <si>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</si>
  <si>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</si>
  <si>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</si>
  <si>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</si>
  <si>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</si>
  <si>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</si>
  <si>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</si>
  <si>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</si>
  <si>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</si>
  <si>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</si>
  <si>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</si>
  <si>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</si>
  <si>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</si>
  <si>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</si>
  <si>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</si>
  <si>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</si>
  <si>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</si>
  <si>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</si>
  <si>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</si>
  <si>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</si>
  <si>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</si>
  <si>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</si>
  <si>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</si>
  <si>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</si>
  <si>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</si>
  <si>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</si>
  <si>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</si>
  <si>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</si>
  <si>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</si>
  <si>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</si>
  <si>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</si>
  <si>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</si>
  <si>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</si>
  <si>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</si>
  <si>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</si>
  <si>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</si>
  <si>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</si>
  <si>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</si>
  <si>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</si>
  <si>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</si>
  <si>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</si>
  <si>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</si>
  <si>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</si>
  <si>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</si>
  <si>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</si>
  <si>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</si>
  <si>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</si>
  <si>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</si>
  <si>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</si>
  <si>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</si>
  <si>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</si>
  <si>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</si>
  <si>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</si>
  <si>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</si>
  <si>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</si>
  <si>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</si>
  <si>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</si>
  <si>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</si>
  <si>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</si>
  <si>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</si>
  <si>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</si>
  <si>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</si>
  <si>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</si>
  <si>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</si>
  <si>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</si>
  <si>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</si>
  <si>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</si>
  <si>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</si>
  <si>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</si>
  <si>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</si>
  <si>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</si>
  <si>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</si>
  <si>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</si>
  <si>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</si>
  <si>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</si>
  <si>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</si>
  <si>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</si>
  <si>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</si>
  <si>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</si>
  <si>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</si>
  <si>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</si>
  <si>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</si>
  <si>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</si>
  <si>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</si>
  <si>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</si>
  <si>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</si>
  <si>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</si>
  <si>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</si>
  <si>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</si>
  <si>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</si>
  <si>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</si>
  <si>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</si>
  <si>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</si>
  <si>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</si>
  <si>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</si>
  <si>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</si>
  <si>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</si>
  <si>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</si>
  <si>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</si>
  <si>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</si>
  <si>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</si>
  <si>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</si>
  <si>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</si>
  <si>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</si>
  <si>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</si>
  <si>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</si>
  <si>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</si>
  <si>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</si>
  <si>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</si>
  <si>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</si>
  <si>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</si>
  <si>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</si>
  <si>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</si>
  <si>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</si>
  <si>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</si>
  <si>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</si>
  <si>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</si>
  <si>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</si>
  <si>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</si>
  <si>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</si>
  <si>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</si>
  <si>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</si>
  <si>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</si>
  <si>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</si>
  <si>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</si>
  <si>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</si>
  <si>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</si>
  <si>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</si>
  <si>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</si>
  <si>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</si>
  <si>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</si>
  <si>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</si>
  <si>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</si>
  <si>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</si>
  <si>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</si>
  <si>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</si>
  <si>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</si>
  <si>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</si>
  <si>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</si>
  <si>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</si>
  <si>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</si>
  <si>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</si>
  <si>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</si>
  <si>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</si>
  <si>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</si>
  <si>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</si>
  <si>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</si>
  <si>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</si>
  <si>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</si>
  <si>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</si>
  <si>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</si>
  <si>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</si>
  <si>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</si>
  <si>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</si>
  <si>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</si>
  <si>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</si>
  <si>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</si>
  <si>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</si>
  <si>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</si>
  <si>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</si>
  <si>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</si>
  <si>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</si>
  <si>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</si>
  <si>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</si>
  <si>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</si>
  <si>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</si>
  <si>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</si>
  <si>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</si>
  <si>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</si>
  <si>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</si>
  <si>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</si>
  <si>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</si>
  <si>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</si>
  <si>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</si>
  <si>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</si>
  <si>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</si>
  <si>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</si>
  <si>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</si>
  <si>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</si>
  <si>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</si>
  <si>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</si>
  <si>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</si>
  <si>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</si>
  <si>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</si>
  <si>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</si>
  <si>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</si>
  <si>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</si>
  <si>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</si>
  <si>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</si>
  <si>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</si>
  <si>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</si>
  <si>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</si>
  <si>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</si>
  <si>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</si>
  <si>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</si>
  <si>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</si>
  <si>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</si>
  <si>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</si>
  <si>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</si>
  <si>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</si>
  <si>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</si>
  <si>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</si>
  <si>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</si>
  <si>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</si>
  <si>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</si>
  <si>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</si>
  <si>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</si>
  <si>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</si>
  <si>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</si>
  <si>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</si>
  <si>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</si>
  <si>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CAVO</t>
  </si>
  <si>
    <t xml:space="preserve">Zonza</t>
  </si>
  <si>
    <t xml:space="preserve">06219105</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</si>
  <si>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</si>
  <si>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</si>
  <si>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</si>
  <si>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</si>
  <si>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</si>
  <si>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</si>
  <si>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</si>
  <si>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</si>
  <si>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</si>
  <si>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</si>
  <si>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</si>
  <si>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</si>
  <si>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</si>
  <si>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</si>
  <si>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</si>
  <si>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</si>
  <si>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</si>
  <si>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</si>
  <si>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</si>
  <si>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</si>
  <si>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</si>
  <si>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</si>
  <si>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</si>
  <si>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</si>
  <si>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</si>
  <si>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</si>
  <si>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</si>
  <si>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</si>
  <si>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</si>
  <si>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</si>
  <si>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</si>
  <si>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</si>
  <si>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</si>
  <si>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</si>
  <si>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</si>
  <si>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</si>
  <si>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</si>
  <si>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</si>
  <si>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</si>
  <si>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</si>
  <si>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</si>
  <si>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</si>
  <si>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</si>
  <si>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</si>
  <si>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</si>
  <si>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</si>
  <si>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</si>
  <si>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</si>
  <si>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</si>
  <si>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</si>
  <si>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</si>
  <si>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(0,50375 %)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</si>
  <si>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</si>
  <si>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</si>
  <si>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</si>
  <si>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</si>
  <si>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</si>
  <si>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</si>
  <si>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</si>
  <si>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</si>
  <si>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</si>
  <si>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</si>
  <si>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</si>
  <si>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</si>
  <si>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</si>
  <si>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</si>
  <si>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</si>
  <si>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</si>
  <si>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</si>
  <si>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</si>
  <si>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</si>
  <si>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Cf.</t>
  </si>
  <si>
    <t xml:space="preserve">Klebsormidium sp</t>
  </si>
  <si>
    <t xml:space="preserve">Fragilaria sp</t>
  </si>
  <si>
    <t xml:space="preserve">Tabellaria sp</t>
  </si>
  <si>
    <t xml:space="preserve">Taxon décalé sur le plan trophique déclassant l'iBMR (- 0,89 pt)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</si>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</sst>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3" borderId="65" xfId="0" applyFont="true" applyBorder="true" applyAlignment="true" applyProtection="true">
      <alignment horizontal="right" vertical="top" textRotation="0" wrapText="false" indent="0" shrinkToFit="false"/>
      <protection locked="true" hidden="true"/>
    </xf>
    <xf numFmtId="172" fontId="27" fillId="3" borderId="66" xfId="0" applyFont="true" applyBorder="true" applyAlignment="true" applyProtection="true">
      <alignment horizontal="left" vertical="top" textRotation="0" wrapText="false" indent="0" shrinkToFit="false"/>
      <protection locked="true" hidden="true"/>
    </xf>
    <xf numFmtId="172" fontId="55" fillId="3" borderId="58" xfId="0" applyFont="true" applyBorder="true" applyAlignment="true" applyProtection="true">
      <alignment horizontal="left" vertical="top" textRotation="0" wrapText="false" indent="0" shrinkToFit="false"/>
      <protection locked="true" hidden="true"/>
    </xf>
    <xf numFmtId="172" fontId="20" fillId="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3" borderId="69" xfId="0" applyFont="true" applyBorder="true" applyAlignment="true" applyProtection="true">
      <alignment horizontal="left" vertical="bottom" textRotation="0" wrapText="false" indent="0" shrinkToFit="false"/>
      <protection locked="true" hidden="true"/>
    </xf>
    <xf numFmtId="164" fontId="26" fillId="3" borderId="70" xfId="0" applyFont="true" applyBorder="true" applyAlignment="true" applyProtection="true">
      <alignment horizontal="right" vertical="top" textRotation="0" wrapText="false" indent="0" shrinkToFit="false"/>
      <protection locked="true" hidden="true"/>
    </xf>
    <xf numFmtId="164" fontId="92" fillId="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41451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14.0625</v>
      </c>
      <c r="M5" s="323"/>
      <c r="N5" s="324" t="s">
        <v>258</v>
      </c>
      <c r="O5" s="325" t="n">
        <v>14.6428571428571</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75</v>
      </c>
      <c r="C7" s="337" t="n">
        <v>25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8.08333333333333</v>
      </c>
      <c r="O8" s="354" t="n">
        <f aca="false">IF(ISERROR(AVERAGE(J23:J82)),"      -",AVERAGE(J23:J82))</f>
        <v>1.25</v>
      </c>
      <c r="P8" s="355"/>
      <c r="Q8" s="280"/>
      <c r="R8" s="280"/>
      <c r="S8" s="280"/>
      <c r="T8" s="280"/>
      <c r="U8" s="280"/>
      <c r="V8" s="280"/>
      <c r="W8" s="292"/>
      <c r="X8" s="293"/>
    </row>
    <row r="9" customFormat="false" ht="13.5" hidden="false" customHeight="false" outlineLevel="0" collapsed="false">
      <c r="A9" s="313" t="s">
        <v>2635</v>
      </c>
      <c r="B9" s="356" t="n">
        <v>0.3</v>
      </c>
      <c r="C9" s="357" t="n">
        <v>1.1</v>
      </c>
      <c r="D9" s="358"/>
      <c r="E9" s="358"/>
      <c r="F9" s="359" t="n">
        <f aca="false">($B9*$B$7+$C9*$C$7)/100</f>
        <v>0.5</v>
      </c>
      <c r="G9" s="360"/>
      <c r="H9" s="361"/>
      <c r="I9" s="362"/>
      <c r="J9" s="363"/>
      <c r="K9" s="343"/>
      <c r="L9" s="364"/>
      <c r="M9" s="353" t="s">
        <v>2636</v>
      </c>
      <c r="N9" s="354" t="n">
        <f aca="false">IF(ISERROR(STDEVP(I23:I82)),"     -",STDEVP(I23:I82))</f>
        <v>7.08823359911026</v>
      </c>
      <c r="O9" s="354" t="n">
        <f aca="false">IF(ISERROR(STDEVP(J23:J82)),"      -",STDEVP(J23:J82))</f>
        <v>1.16368667031408</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8</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15</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12</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3</v>
      </c>
      <c r="L15" s="386"/>
      <c r="M15" s="407" t="s">
        <v>2655</v>
      </c>
      <c r="N15" s="408" t="n">
        <f aca="false">COUNTIF(J23:J82,"=1")</f>
        <v>1</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4</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2</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0.315</v>
      </c>
      <c r="C20" s="436" t="n">
        <f aca="false">SUM(C23:C82)</f>
        <v>1.07</v>
      </c>
      <c r="D20" s="437"/>
      <c r="E20" s="438" t="s">
        <v>2661</v>
      </c>
      <c r="F20" s="439" t="n">
        <f aca="false">($B20*$B$7+$C20*$C$7)/100</f>
        <v>0.50375</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0.23625</v>
      </c>
      <c r="C21" s="449" t="n">
        <f aca="false">C20*C7/100</f>
        <v>0.2675</v>
      </c>
      <c r="D21" s="381" t="str">
        <f aca="false">IF(F21=0,"",IF((ABS(F21-F19))&gt;(0.2*F21),CONCATENATE(" rec. par taxa (",F21," %) supérieur à 20 % !"),""))</f>
        <v> rec. par taxa (0,50375 %) supérieur à 20 % !</v>
      </c>
      <c r="E21" s="450" t="str">
        <f aca="false">IF(F21=0,"",IF((ABS(F21-F19))&gt;(0.2*F21),CONCATENATE("ATTENTION : écart entre rec. par grp (",F19," %) ","et",""),""))</f>
        <v>ATTENTION : écart entre rec. par grp (0 %) et</v>
      </c>
      <c r="F21" s="451" t="n">
        <f aca="false">B21+C21</f>
        <v>0.50375</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69</v>
      </c>
      <c r="B23" s="475"/>
      <c r="C23" s="476" t="n">
        <v>0.02</v>
      </c>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0.005</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77</v>
      </c>
      <c r="B24" s="494"/>
      <c r="C24" s="495" t="n">
        <v>0.005</v>
      </c>
      <c r="D24" s="477" t="str">
        <f aca="false">IF(ISERROR(VLOOKUP($A24,'liste reference'!$A$7:$D$904,2,0)),IF(ISERROR(VLOOKUP($A24,'liste reference'!$B$7:$D$904,1,0)),"",VLOOKUP($A24,'liste reference'!$B$7:$D$904,1,0)),VLOOKUP($A24,'liste reference'!$A$7:$D$904,2,0))</f>
        <v>Chaetophora sp.</v>
      </c>
      <c r="E24" s="496" t="e">
        <f aca="false">IF(D24="",0,VLOOKUP(D24,D$22:D23,1,0))</f>
        <v>#N/A</v>
      </c>
      <c r="F24" s="497" t="n">
        <f aca="false">($B24*$B$7+$C24*$C$7)/100</f>
        <v>0.00125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Chaetophora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1117</v>
      </c>
      <c r="Q24" s="486" t="n">
        <f aca="false">IF(ISTEXT(H24),"",(B24*$B$7/100)+(C24*$C$7/100))</f>
        <v>0.00125</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Y24" s="490" t="str">
        <f aca="false">IF(A24="new.cod","NEWCOD",IF(AND((Z24=""),ISTEXT(A24)),A24,IF(Z24="","",INDEX('liste reference'!$A$8:$A$904,Z24))))</f>
        <v>CHESPX</v>
      </c>
      <c r="Z24" s="280" t="n">
        <f aca="false">IF(ISERROR(MATCH(A24,'liste reference'!$A$8:$A$904,0)),IF(ISERROR(MATCH(A24,'liste reference'!$B$8:$B$904,0)),"",(MATCH(A24,'liste reference'!$B$8:$B$904,0))),(MATCH(A24,'liste reference'!$A$8:$A$904,0)))</f>
        <v>9</v>
      </c>
      <c r="AA24" s="491"/>
      <c r="AB24" s="492"/>
      <c r="AC24" s="492"/>
      <c r="BB24" s="280" t="n">
        <f aca="false">IF(A24="","",1)</f>
        <v>1</v>
      </c>
    </row>
    <row r="25" customFormat="false" ht="12.75" hidden="false" customHeight="false" outlineLevel="0" collapsed="false">
      <c r="A25" s="493" t="s">
        <v>132</v>
      </c>
      <c r="B25" s="494"/>
      <c r="C25" s="495" t="n">
        <v>0.005</v>
      </c>
      <c r="D25" s="477" t="str">
        <f aca="false">IF(ISERROR(VLOOKUP($A25,'liste reference'!$A$7:$D$904,2,0)),IF(ISERROR(VLOOKUP($A25,'liste reference'!$B$7:$D$904,1,0)),"",VLOOKUP($A25,'liste reference'!$B$7:$D$904,1,0)),VLOOKUP($A25,'liste reference'!$A$7:$D$904,2,0))</f>
        <v>Draparnaldia sp.</v>
      </c>
      <c r="E25" s="496" t="e">
        <f aca="false">IF(D25="",0,VLOOKUP(D25,D$22:D24,1,0))</f>
        <v>#N/A</v>
      </c>
      <c r="F25" s="497" t="n">
        <f aca="false">($B25*$B$7+$C25*$C$7)/100</f>
        <v>0.00125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18</v>
      </c>
      <c r="J25" s="481" t="n">
        <f aca="false">IF(ISNUMBER(H25),IF(ISERROR(VLOOKUP($A25,'liste reference'!$A$7:$P$904,4,0)),IF(ISERROR(VLOOKUP($A25,'liste reference'!$B$7:$P$904,3,0)),"",VLOOKUP($A25,'liste reference'!$B$7:$P$904,3,0)),VLOOKUP($A25,'liste reference'!$A$7:$P$904,4,0)),"")</f>
        <v>3</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Draparnaldia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1118</v>
      </c>
      <c r="Q25" s="486" t="n">
        <f aca="false">IF(ISTEXT(H25),"",(B25*$B$7/100)+(C25*$C$7/100))</f>
        <v>0.00125</v>
      </c>
      <c r="R25" s="487" t="n">
        <f aca="false">IF(OR(ISTEXT(H25),Q25=0),"",IF(Q25&lt;0.1,1,IF(Q25&lt;1,2,IF(Q25&lt;10,3,IF(Q25&lt;50,4,IF(Q25&gt;=50,5,""))))))</f>
        <v>1</v>
      </c>
      <c r="S25" s="487" t="n">
        <f aca="false">IF(ISERROR(R25*I25),0,R25*I25)</f>
        <v>18</v>
      </c>
      <c r="T25" s="487" t="n">
        <f aca="false">IF(ISERROR(R25*I25*J25),0,R25*I25*J25)</f>
        <v>54</v>
      </c>
      <c r="U25" s="499" t="n">
        <f aca="false">IF(ISERROR(R25*J25),0,R25*J25)</f>
        <v>3</v>
      </c>
      <c r="V25" s="488" t="str">
        <f aca="false">IF(AND(A25="",F25=0),"",IF(F25=0,"Il manque le(s) % de rec. !",""))</f>
        <v/>
      </c>
      <c r="W25" s="489"/>
      <c r="Y25" s="490" t="str">
        <f aca="false">IF(A25="new.cod","NEWCOD",IF(AND((Z25=""),ISTEXT(A25)),A25,IF(Z25="","",INDEX('liste reference'!$A$8:$A$904,Z25))))</f>
        <v>DRASPX</v>
      </c>
      <c r="Z25" s="280" t="n">
        <f aca="false">IF(ISERROR(MATCH(A25,'liste reference'!$A$8:$A$904,0)),IF(ISERROR(MATCH(A25,'liste reference'!$B$8:$B$904,0)),"",(MATCH(A25,'liste reference'!$B$8:$B$904,0))),(MATCH(A25,'liste reference'!$A$8:$A$904,0)))</f>
        <v>27</v>
      </c>
      <c r="AA25" s="491"/>
      <c r="AB25" s="492"/>
      <c r="AC25" s="492"/>
      <c r="BB25" s="280" t="n">
        <f aca="false">IF(A25="","",1)</f>
        <v>1</v>
      </c>
    </row>
    <row r="26" customFormat="false" ht="12.75" hidden="false" customHeight="false" outlineLevel="0" collapsed="false">
      <c r="A26" s="493" t="s">
        <v>154</v>
      </c>
      <c r="B26" s="494" t="n">
        <v>0.005</v>
      </c>
      <c r="C26" s="495"/>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0.00375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0.00375</v>
      </c>
      <c r="R26" s="487" t="n">
        <f aca="false">IF(OR(ISTEXT(H26),Q26=0),"",IF(Q26&lt;0.1,1,IF(Q26&lt;1,2,IF(Q26&lt;10,3,IF(Q26&lt;50,4,IF(Q26&gt;=50,5,""))))))</f>
        <v>1</v>
      </c>
      <c r="S26" s="487" t="n">
        <f aca="false">IF(ISERROR(R26*I26),0,R26*I26)</f>
        <v>15</v>
      </c>
      <c r="T26" s="487" t="n">
        <f aca="false">IF(ISERROR(R26*I26*J26),0,R26*I26*J26)</f>
        <v>30</v>
      </c>
      <c r="U26" s="499" t="n">
        <f aca="false">IF(ISERROR(R26*J26),0,R26*J26)</f>
        <v>2</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180</v>
      </c>
      <c r="B27" s="494"/>
      <c r="C27" s="495" t="n">
        <v>0.01</v>
      </c>
      <c r="D27" s="477" t="str">
        <f aca="false">IF(ISERROR(VLOOKUP($A27,'liste reference'!$A$7:$D$904,2,0)),IF(ISERROR(VLOOKUP($A27,'liste reference'!$B$7:$D$904,1,0)),"",VLOOKUP($A27,'liste reference'!$B$7:$D$904,1,0)),VLOOKUP($A27,'liste reference'!$A$7:$D$904,2,0))</f>
        <v>Mougeotia sp.</v>
      </c>
      <c r="E27" s="496" t="e">
        <f aca="false">IF(D27="",0,VLOOKUP(D27,D$22:D26,1,0))</f>
        <v>#N/A</v>
      </c>
      <c r="F27" s="497" t="n">
        <f aca="false">($B27*$B$7+$C27*$C$7)/100</f>
        <v>0.0025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Mougeotia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1146</v>
      </c>
      <c r="Q27" s="486" t="n">
        <f aca="false">IF(ISTEXT(H27),"",(B27*$B$7/100)+(C27*$C$7/100))</f>
        <v>0.0025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X27" s="489"/>
      <c r="Y27" s="490" t="str">
        <f aca="false">IF(A27="new.cod","NEWCOD",IF(AND((Z27=""),ISTEXT(A27)),A27,IF(Z27="","",INDEX('liste reference'!$A$8:$A$904,Z27))))</f>
        <v>MOUSPX</v>
      </c>
      <c r="Z27" s="280" t="n">
        <f aca="false">IF(ISERROR(MATCH(A27,'liste reference'!$A$8:$A$904,0)),IF(ISERROR(MATCH(A27,'liste reference'!$B$8:$B$904,0)),"",(MATCH(A27,'liste reference'!$B$8:$B$904,0))),(MATCH(A27,'liste reference'!$A$8:$A$904,0)))</f>
        <v>43</v>
      </c>
      <c r="AA27" s="491"/>
      <c r="AB27" s="492"/>
      <c r="AC27" s="492"/>
      <c r="BB27" s="280" t="n">
        <f aca="false">IF(A27="","",1)</f>
        <v>1</v>
      </c>
    </row>
    <row r="28" customFormat="false" ht="12.75" hidden="false" customHeight="false" outlineLevel="0" collapsed="false">
      <c r="A28" s="493" t="s">
        <v>258</v>
      </c>
      <c r="B28" s="494" t="n">
        <v>0.28</v>
      </c>
      <c r="C28" s="495" t="n">
        <v>0.5</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0.335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0.335</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293</v>
      </c>
      <c r="B29" s="494" t="n">
        <v>0.01</v>
      </c>
      <c r="C29" s="495" t="n">
        <v>0.005</v>
      </c>
      <c r="D29" s="477" t="str">
        <f aca="false">IF(ISERROR(VLOOKUP($A29,'liste reference'!$A$7:$D$904,2,0)),IF(ISERROR(VLOOKUP($A29,'liste reference'!$B$7:$D$904,1,0)),"",VLOOKUP($A29,'liste reference'!$B$7:$D$904,1,0)),VLOOKUP($A29,'liste reference'!$A$7:$D$904,2,0))</f>
        <v>Tolypothrix sp.</v>
      </c>
      <c r="E29" s="496" t="e">
        <f aca="false">IF(D29="",0,VLOOKUP(D29,D$22:D28,1,0))</f>
        <v>#N/A</v>
      </c>
      <c r="F29" s="497" t="n">
        <f aca="false">($B29*$B$7+$C29*$C$7)/100</f>
        <v>0.00875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Tolypothrix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6304</v>
      </c>
      <c r="Q29" s="486" t="n">
        <f aca="false">IF(ISTEXT(H29),"",(B29*$B$7/100)+(C29*$C$7/100))</f>
        <v>0.00875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TOYSPX</v>
      </c>
      <c r="Z29" s="280" t="n">
        <f aca="false">IF(ISERROR(MATCH(A29,'liste reference'!$A$8:$A$904,0)),IF(ISERROR(MATCH(A29,'liste reference'!$B$8:$B$904,0)),"",(MATCH(A29,'liste reference'!$B$8:$B$904,0))),(MATCH(A29,'liste reference'!$A$8:$A$904,0)))</f>
        <v>79</v>
      </c>
      <c r="AA29" s="491"/>
      <c r="AB29" s="492"/>
      <c r="AC29" s="492"/>
      <c r="BB29" s="280" t="n">
        <f aca="false">IF(A29="","",1)</f>
        <v>1</v>
      </c>
    </row>
    <row r="30" customFormat="false" ht="12.75" hidden="false" customHeight="false" outlineLevel="0" collapsed="false">
      <c r="A30" s="493" t="s">
        <v>304</v>
      </c>
      <c r="B30" s="494" t="n">
        <v>0.02</v>
      </c>
      <c r="C30" s="495" t="n">
        <v>0.02</v>
      </c>
      <c r="D30" s="477" t="str">
        <f aca="false">IF(ISERROR(VLOOKUP($A30,'liste reference'!$A$7:$D$904,2,0)),IF(ISERROR(VLOOKUP($A30,'liste reference'!$B$7:$D$904,1,0)),"",VLOOKUP($A30,'liste reference'!$B$7:$D$904,1,0)),VLOOKUP($A30,'liste reference'!$A$7:$D$904,2,0))</f>
        <v>Zygnema sp.</v>
      </c>
      <c r="E30" s="496" t="e">
        <f aca="false">IF(D30="",0,VLOOKUP(D30,D$22:D29,1,0))</f>
        <v>#N/A</v>
      </c>
      <c r="F30" s="497" t="n">
        <f aca="false">($B30*$B$7+$C30*$C$7)/100</f>
        <v>0.02</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Zygnema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1148</v>
      </c>
      <c r="Q30" s="486" t="n">
        <f aca="false">IF(ISTEXT(H30),"",(B30*$B$7/100)+(C30*$C$7/100))</f>
        <v>0.02</v>
      </c>
      <c r="R30" s="487" t="n">
        <f aca="false">IF(OR(ISTEXT(H30),Q30=0),"",IF(Q30&lt;0.1,1,IF(Q30&lt;1,2,IF(Q30&lt;10,3,IF(Q30&lt;50,4,IF(Q30&gt;=50,5,""))))))</f>
        <v>1</v>
      </c>
      <c r="S30" s="487" t="n">
        <f aca="false">IF(ISERROR(R30*I30),0,R30*I30)</f>
        <v>13</v>
      </c>
      <c r="T30" s="487" t="n">
        <f aca="false">IF(ISERROR(R30*I30*J30),0,R30*I30*J30)</f>
        <v>39</v>
      </c>
      <c r="U30" s="499" t="n">
        <f aca="false">IF(ISERROR(R30*J30),0,R30*J30)</f>
        <v>3</v>
      </c>
      <c r="V30" s="488" t="str">
        <f aca="false">IF(AND(A30="",F30=0),"",IF(F30=0,"Il manque le(s) % de rec. !",""))</f>
        <v/>
      </c>
      <c r="W30" s="489"/>
      <c r="Y30" s="490" t="str">
        <f aca="false">IF(A30="new.cod","NEWCOD",IF(AND((Z30=""),ISTEXT(A30)),A30,IF(Z30="","",INDEX('liste reference'!$A$8:$A$904,Z30))))</f>
        <v>ZYGSPX</v>
      </c>
      <c r="Z30" s="280" t="n">
        <f aca="false">IF(ISERROR(MATCH(A30,'liste reference'!$A$8:$A$904,0)),IF(ISERROR(MATCH(A30,'liste reference'!$B$8:$B$904,0)),"",(MATCH(A30,'liste reference'!$B$8:$B$904,0))),(MATCH(A30,'liste reference'!$A$8:$A$904,0)))</f>
        <v>83</v>
      </c>
      <c r="AA30" s="491"/>
      <c r="AB30" s="492"/>
      <c r="AC30" s="492"/>
      <c r="BB30" s="280" t="n">
        <f aca="false">IF(A30="","",1)</f>
        <v>1</v>
      </c>
    </row>
    <row r="31" customFormat="false" ht="12.75" hidden="false" customHeight="false" outlineLevel="0" collapsed="false">
      <c r="A31" s="493" t="s">
        <v>1153</v>
      </c>
      <c r="B31" s="494"/>
      <c r="C31" s="495" t="n">
        <v>0.01</v>
      </c>
      <c r="D31" s="477" t="str">
        <f aca="false">IF(ISERROR(VLOOKUP($A31,'liste reference'!$A$7:$D$904,2,0)),IF(ISERROR(VLOOKUP($A31,'liste reference'!$B$7:$D$904,1,0)),"",VLOOKUP($A31,'liste reference'!$B$7:$D$904,1,0)),VLOOKUP($A31,'liste reference'!$A$7:$D$904,2,0))</f>
        <v>Equisetum arvense</v>
      </c>
      <c r="E31" s="496" t="e">
        <f aca="false">IF(D31="",0,VLOOKUP(D31,D$22:D30,1,0))</f>
        <v>#N/A</v>
      </c>
      <c r="F31" s="497" t="n">
        <f aca="false">($B31*$B$7+$C31*$C$7)/100</f>
        <v>0.0025</v>
      </c>
      <c r="G31" s="479" t="str">
        <f aca="false">IF(A31="","",IF(ISERROR(VLOOKUP($A31,'liste reference'!$A$7:$P$904,13,0)),IF(ISERROR(VLOOKUP($A31,'liste reference'!$B$7:$P$904,12,0)),"    -",VLOOKUP($A31,'liste reference'!$B$7:$P$904,12,0)),VLOOKUP($A31,'liste reference'!$A$7:$P$904,13,0)))</f>
        <v>PTE</v>
      </c>
      <c r="H31" s="480" t="n">
        <f aca="false">IF(A31="","x",IF(ISERROR(VLOOKUP($A31,'liste reference'!$A$8:$P$904,14,0)),IF(ISERROR(VLOOKUP($A31,'liste reference'!$B$8:$P$904,13,0)),"x",VLOOKUP($A31,'liste reference'!$B$8:$P$904,13,0)),VLOOKUP($A31,'liste reference'!$A$8:$P$904,14,0)))</f>
        <v>6</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arvense</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1384</v>
      </c>
      <c r="Q31" s="486" t="n">
        <f aca="false">IF(ISTEXT(H31),"",(B31*$B$7/100)+(C31*$C$7/100))</f>
        <v>0.0025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EQUARV</v>
      </c>
      <c r="Z31" s="280" t="n">
        <f aca="false">IF(ISERROR(MATCH(A31,'liste reference'!$A$8:$A$904,0)),IF(ISERROR(MATCH(A31,'liste reference'!$B$8:$B$904,0)),"",(MATCH(A31,'liste reference'!$B$8:$B$904,0))),(MATCH(A31,'liste reference'!$A$8:$A$904,0)))</f>
        <v>278</v>
      </c>
      <c r="AA31" s="491"/>
      <c r="AB31" s="492"/>
      <c r="AC31" s="492"/>
      <c r="BB31" s="280" t="n">
        <f aca="false">IF(A31="","",1)</f>
        <v>1</v>
      </c>
    </row>
    <row r="32" customFormat="false" ht="12.75" hidden="false" customHeight="false" outlineLevel="0" collapsed="false">
      <c r="A32" s="493" t="s">
        <v>1899</v>
      </c>
      <c r="B32" s="494"/>
      <c r="C32" s="495" t="n">
        <v>0.005</v>
      </c>
      <c r="D32" s="477" t="str">
        <f aca="false">IF(ISERROR(VLOOKUP($A32,'liste reference'!$A$7:$D$904,2,0)),IF(ISERROR(VLOOKUP($A32,'liste reference'!$B$7:$D$904,1,0)),"",VLOOKUP($A32,'liste reference'!$B$7:$D$904,1,0)),VLOOKUP($A32,'liste reference'!$A$7:$D$904,2,0))</f>
        <v>Juncus sp.</v>
      </c>
      <c r="E32" s="496" t="e">
        <f aca="false">IF(D32="",0,VLOOKUP(D32,D$22:D31,1,0))</f>
        <v>#N/A</v>
      </c>
      <c r="F32" s="497" t="n">
        <f aca="false">($B32*$B$7+$C32*$C$7)/100</f>
        <v>0.00125</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Juncus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1606</v>
      </c>
      <c r="Q32" s="486" t="n">
        <f aca="false">IF(ISTEXT(H32),"",(B32*$B$7/100)+(C32*$C$7/100))</f>
        <v>0.00125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JUNSPX</v>
      </c>
      <c r="Z32" s="280" t="n">
        <f aca="false">IF(ISERROR(MATCH(A32,'liste reference'!$A$8:$A$904,0)),IF(ISERROR(MATCH(A32,'liste reference'!$B$8:$B$904,0)),"",(MATCH(A32,'liste reference'!$B$8:$B$904,0))),(MATCH(A32,'liste reference'!$A$8:$A$904,0)))</f>
        <v>590</v>
      </c>
      <c r="AA32" s="491"/>
      <c r="AB32" s="492"/>
      <c r="AC32" s="492"/>
      <c r="BB32" s="280" t="n">
        <f aca="false">IF(A32="","",1)</f>
        <v>1</v>
      </c>
    </row>
    <row r="33" customFormat="false" ht="12.75" hidden="false" customHeight="false" outlineLevel="0" collapsed="false">
      <c r="A33" s="493" t="s">
        <v>2107</v>
      </c>
      <c r="B33" s="494"/>
      <c r="C33" s="495" t="n">
        <v>0.005</v>
      </c>
      <c r="D33" s="477" t="str">
        <f aca="false">IF(ISERROR(VLOOKUP($A33,'liste reference'!$A$7:$D$904,2,0)),IF(ISERROR(VLOOKUP($A33,'liste reference'!$B$7:$D$904,1,0)),"",VLOOKUP($A33,'liste reference'!$B$7:$D$904,1,0)),VLOOKUP($A33,'liste reference'!$A$7:$D$904,2,0))</f>
        <v>Typha sp.</v>
      </c>
      <c r="E33" s="496" t="e">
        <f aca="false">IF(D33="",0,VLOOKUP(D33,D$22:D32,1,0))</f>
        <v>#N/A</v>
      </c>
      <c r="F33" s="497" t="n">
        <f aca="false">($B33*$B$7+$C33*$C$7)/100</f>
        <v>0.00125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Typha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1674</v>
      </c>
      <c r="Q33" s="486" t="n">
        <f aca="false">IF(ISTEXT(H33),"",(B33*$B$7/100)+(C33*$C$7/100))</f>
        <v>0.00125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TYPSPX</v>
      </c>
      <c r="Z33" s="280" t="n">
        <f aca="false">IF(ISERROR(MATCH(A33,'liste reference'!$A$8:$A$904,0)),IF(ISERROR(MATCH(A33,'liste reference'!$B$8:$B$904,0)),"",(MATCH(A33,'liste reference'!$B$8:$B$904,0))),(MATCH(A33,'liste reference'!$A$8:$A$904,0)))</f>
        <v>681</v>
      </c>
      <c r="AA33" s="491"/>
      <c r="AB33" s="492"/>
      <c r="AC33" s="492"/>
      <c r="BB33" s="280" t="n">
        <f aca="false">IF(A33="","",1)</f>
        <v>1</v>
      </c>
    </row>
    <row r="34" customFormat="false" ht="12.75" hidden="false" customHeight="false" outlineLevel="0" collapsed="false">
      <c r="A34" s="493" t="s">
        <v>2204</v>
      </c>
      <c r="B34" s="494"/>
      <c r="C34" s="495" t="n">
        <v>0.2</v>
      </c>
      <c r="D34" s="477" t="str">
        <f aca="false">IF(ISERROR(VLOOKUP($A34,'liste reference'!$A$7:$D$904,2,0)),IF(ISERROR(VLOOKUP($A34,'liste reference'!$B$7:$D$904,1,0)),"",VLOOKUP($A34,'liste reference'!$B$7:$D$904,1,0)),VLOOKUP($A34,'liste reference'!$A$7:$D$904,2,0))</f>
        <v>Cyperus longus</v>
      </c>
      <c r="E34" s="496" t="e">
        <f aca="false">IF(D34="",0,VLOOKUP(D34,D$22:D33,1,0))</f>
        <v>#N/A</v>
      </c>
      <c r="F34" s="500" t="n">
        <f aca="false">($B34*$B$7+$C34*$C$7)/100</f>
        <v>0.05</v>
      </c>
      <c r="G34" s="479" t="str">
        <f aca="false">IF(A34="","",IF(ISERROR(VLOOKUP($A34,'liste reference'!$A$7:$P$904,13,0)),IF(ISERROR(VLOOKUP($A34,'liste reference'!$B$7:$P$904,12,0)),"    -",VLOOKUP($A34,'liste reference'!$B$7:$P$904,12,0)),VLOOKUP($A34,'liste reference'!$A$7:$P$904,13,0)))</f>
        <v>PHg</v>
      </c>
      <c r="H34" s="480" t="n">
        <f aca="false">IF(A34="","x",IF(ISERROR(VLOOKUP($A34,'liste reference'!$A$8:$P$904,14,0)),IF(ISERROR(VLOOKUP($A34,'liste reference'!$B$8:$P$904,13,0)),"x",VLOOKUP($A34,'liste reference'!$B$8:$P$904,13,0)),VLOOKUP($A34,'liste reference'!$A$8:$P$904,14,0)))</f>
        <v>9</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Cyperus longus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1500</v>
      </c>
      <c r="Q34" s="486" t="n">
        <f aca="false">IF(ISTEXT(H34),"",(B34*$B$7/100)+(C34*$C$7/100))</f>
        <v>0.05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CYPLON</v>
      </c>
      <c r="Z34" s="280" t="n">
        <f aca="false">IF(ISERROR(MATCH(A34,'liste reference'!$A$8:$A$904,0)),IF(ISERROR(MATCH(A34,'liste reference'!$B$8:$B$904,0)),"",(MATCH(A34,'liste reference'!$B$8:$B$904,0))),(MATCH(A34,'liste reference'!$A$8:$A$904,0)))</f>
        <v>724</v>
      </c>
      <c r="AA34" s="491"/>
      <c r="AB34" s="492"/>
      <c r="AC34" s="492"/>
      <c r="BB34" s="280" t="n">
        <f aca="false">IF(A34="","",1)</f>
        <v>1</v>
      </c>
    </row>
    <row r="35" customFormat="false" ht="12.75" hidden="false" customHeight="false" outlineLevel="0" collapsed="false">
      <c r="A35" s="493" t="s">
        <v>2686</v>
      </c>
      <c r="B35" s="494"/>
      <c r="C35" s="495" t="n">
        <v>0.18</v>
      </c>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0.045</v>
      </c>
      <c r="G35" s="479" t="str">
        <f aca="false">IF(A35="","",IF(ISERROR(VLOOKUP($A35,'liste reference'!$A$7:$P$904,13,0)),IF(ISERROR(VLOOKUP($A35,'liste reference'!$B$7:$P$904,12,0)),"    -",VLOOKUP($A35,'liste reference'!$B$7:$P$904,12,0)),VLOOKUP($A35,'liste reference'!$A$7:$P$904,13,0)))</f>
        <v>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Klebsormidium sp</v>
      </c>
      <c r="L35" s="498"/>
      <c r="M35" s="498"/>
      <c r="N35" s="498"/>
      <c r="O35" s="484" t="s">
        <v>2687</v>
      </c>
      <c r="P35" s="485" t="str">
        <f aca="false">IF($A35="NEWCOD",IF($AC35="","No",$AC35),IF(ISTEXT($E35),"DEJA SAISI !",IF($A35="","",IF(ISERROR(VLOOKUP($A35,'liste reference'!A:S,19,FALSE())),IF(ISERROR(VLOOKUP($A35,'liste reference'!B:S,19,FALSE())),"",VLOOKUP($A35,'liste reference'!B:S,19,FALSE())),VLOOKUP($A35,'liste reference'!A:S,19,FALSE())))))</f>
        <v>No</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NEWCOD</v>
      </c>
      <c r="Z35" s="280" t="str">
        <f aca="false">IF(ISERROR(MATCH(A35,'liste reference'!$A$8:$A$904,0)),IF(ISERROR(MATCH(A35,'liste reference'!$B$8:$B$904,0)),"",(MATCH(A35,'liste reference'!$B$8:$B$904,0))),(MATCH(A35,'liste reference'!$A$8:$A$904,0)))</f>
        <v/>
      </c>
      <c r="AA35" s="491" t="s">
        <v>2687</v>
      </c>
      <c r="AB35" s="492" t="s">
        <v>2688</v>
      </c>
      <c r="AC35" s="492"/>
      <c r="BB35" s="280" t="n">
        <f aca="false">IF(A35="","",1)</f>
        <v>1</v>
      </c>
    </row>
    <row r="36" customFormat="false" ht="12.75" hidden="false" customHeight="false" outlineLevel="0" collapsed="false">
      <c r="A36" s="493" t="s">
        <v>2686</v>
      </c>
      <c r="B36" s="494"/>
      <c r="C36" s="495" t="n">
        <v>0.1</v>
      </c>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0.025</v>
      </c>
      <c r="G36" s="479" t="str">
        <f aca="false">IF(A36="","",IF(ISERROR(VLOOKUP($A36,'liste reference'!$A$7:$P$904,13,0)),IF(ISERROR(VLOOKUP($A36,'liste reference'!$B$7:$P$904,12,0)),"    -",VLOOKUP($A36,'liste reference'!$B$7:$P$904,12,0)),VLOOKUP($A36,'liste reference'!$A$7:$P$904,13,0)))</f>
        <v>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Fragilaria sp</v>
      </c>
      <c r="L36" s="498"/>
      <c r="M36" s="498"/>
      <c r="N36" s="498"/>
      <c r="O36" s="484" t="s">
        <v>2687</v>
      </c>
      <c r="P36" s="485" t="str">
        <f aca="false">IF($A36="NEWCOD",IF($AC36="","No",$AC36),IF(ISTEXT($E36),"DEJA SAISI !",IF($A36="","",IF(ISERROR(VLOOKUP($A36,'liste reference'!A:S,19,FALSE())),IF(ISERROR(VLOOKUP($A36,'liste reference'!B:S,19,FALSE())),"",VLOOKUP($A36,'liste reference'!B:S,19,FALSE())),VLOOKUP($A36,'liste reference'!A:S,19,FALSE())))))</f>
        <v>No</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501"/>
      <c r="Y36" s="490" t="str">
        <f aca="false">IF(A36="new.cod","NEWCOD",IF(AND((Z36=""),ISTEXT(A36)),A36,IF(Z36="","",INDEX('liste reference'!$A$8:$A$904,Z36))))</f>
        <v>NEWCOD</v>
      </c>
      <c r="Z36" s="280" t="str">
        <f aca="false">IF(ISERROR(MATCH(A36,'liste reference'!$A$8:$A$904,0)),IF(ISERROR(MATCH(A36,'liste reference'!$B$8:$B$904,0)),"",(MATCH(A36,'liste reference'!$B$8:$B$904,0))),(MATCH(A36,'liste reference'!$A$8:$A$904,0)))</f>
        <v/>
      </c>
      <c r="AA36" s="491" t="s">
        <v>2687</v>
      </c>
      <c r="AB36" s="492" t="s">
        <v>2689</v>
      </c>
      <c r="AC36" s="492"/>
      <c r="BB36" s="280" t="n">
        <f aca="false">IF(A36="","",1)</f>
        <v>1</v>
      </c>
    </row>
    <row r="37" customFormat="false" ht="12.75" hidden="false" customHeight="false" outlineLevel="0" collapsed="false">
      <c r="A37" s="493" t="s">
        <v>2686</v>
      </c>
      <c r="B37" s="494"/>
      <c r="C37" s="495" t="n">
        <v>0.005</v>
      </c>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0.00125</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Tabellaria sp</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No</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1"/>
      <c r="AB37" s="492" t="s">
        <v>2690</v>
      </c>
      <c r="AC37" s="492"/>
      <c r="BB37" s="280" t="n">
        <f aca="false">IF(A37="","",1)</f>
        <v>1</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IF(D45="",0,VLOOKUP(D45,D$22:D38,1,0))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IF(D46="",0,VLOOKUP(D46,D$22:D38,1,0))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IF(D56="",0,VLOOKUP(D56,D$21:D55,1,0))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X56" s="502"/>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4"/>
      <c r="P58" s="504"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X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t="s">
        <v>2691</v>
      </c>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CAVO</v>
      </c>
      <c r="B84" s="529" t="str">
        <f aca="false">C3</f>
        <v>Zonza</v>
      </c>
      <c r="C84" s="530" t="n">
        <f aca="false">A4</f>
        <v>41451</v>
      </c>
      <c r="D84" s="531" t="n">
        <f aca="false">IF(ISERROR(SUM($T$23:$T$82)/SUM($U$23:$U$82)),"",SUM($T$23:$T$82)/SUM($U$23:$U$82))</f>
        <v>14.0625</v>
      </c>
      <c r="E84" s="532" t="n">
        <f aca="false">N13</f>
        <v>15</v>
      </c>
      <c r="F84" s="529" t="n">
        <f aca="false">N14</f>
        <v>12</v>
      </c>
      <c r="G84" s="529" t="n">
        <f aca="false">N15</f>
        <v>1</v>
      </c>
      <c r="H84" s="529" t="n">
        <f aca="false">N16</f>
        <v>4</v>
      </c>
      <c r="I84" s="529" t="n">
        <f aca="false">N17</f>
        <v>2</v>
      </c>
      <c r="J84" s="533" t="n">
        <f aca="false">N8</f>
        <v>8.08333333333333</v>
      </c>
      <c r="K84" s="531" t="n">
        <f aca="false">N9</f>
        <v>7.08823359911026</v>
      </c>
      <c r="L84" s="532" t="n">
        <f aca="false">N10</f>
        <v>0</v>
      </c>
      <c r="M84" s="532" t="n">
        <f aca="false">N11</f>
        <v>18</v>
      </c>
      <c r="N84" s="531" t="n">
        <f aca="false">O8</f>
        <v>1.25</v>
      </c>
      <c r="O84" s="531" t="n">
        <f aca="false">O9</f>
        <v>1.16368667031408</v>
      </c>
      <c r="P84" s="532" t="n">
        <f aca="false">O10</f>
        <v>0</v>
      </c>
      <c r="Q84" s="532" t="n">
        <f aca="false">O11</f>
        <v>3</v>
      </c>
      <c r="R84" s="532" t="n">
        <f aca="false">F21</f>
        <v>0.50375</v>
      </c>
      <c r="S84" s="532" t="n">
        <f aca="false">K11</f>
        <v>0</v>
      </c>
      <c r="T84" s="532" t="n">
        <f aca="false">K12</f>
        <v>8</v>
      </c>
      <c r="U84" s="532" t="n">
        <f aca="false">K13</f>
        <v>0</v>
      </c>
      <c r="V84" s="534" t="n">
        <f aca="false">K14</f>
        <v>1</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2693</v>
      </c>
      <c r="R86" s="280"/>
      <c r="S86" s="488"/>
      <c r="T86" s="280"/>
      <c r="U86" s="280"/>
      <c r="V86" s="280"/>
    </row>
    <row r="87" customFormat="false" ht="12.75" hidden="true" customHeight="false" outlineLevel="0" collapsed="false">
      <c r="P87" s="280"/>
      <c r="Q87" s="280" t="s">
        <v>2694</v>
      </c>
      <c r="R87" s="280"/>
      <c r="S87" s="488" t="n">
        <f aca="false">VLOOKUP(MAX($S$23:$S$82),($S$23:$U$82),1,0)</f>
        <v>20</v>
      </c>
      <c r="T87" s="280"/>
      <c r="U87" s="280"/>
      <c r="V87" s="280"/>
    </row>
    <row r="88" customFormat="false" ht="12.75" hidden="true" customHeight="false" outlineLevel="0" collapsed="false">
      <c r="P88" s="280"/>
      <c r="Q88" s="280" t="s">
        <v>2695</v>
      </c>
      <c r="R88" s="280"/>
      <c r="S88" s="488" t="n">
        <f aca="false">VLOOKUP((S87),($S$23:$U$82),2,0)</f>
        <v>20</v>
      </c>
      <c r="T88" s="280"/>
      <c r="U88" s="280"/>
      <c r="V88" s="280"/>
    </row>
    <row r="89" customFormat="false" ht="12.75" hidden="true" customHeight="false" outlineLevel="0" collapsed="false">
      <c r="Q89" s="280" t="s">
        <v>2696</v>
      </c>
      <c r="R89" s="280"/>
      <c r="S89" s="488" t="n">
        <f aca="false">VLOOKUP((S87),($S$23:$U$82),3,0)</f>
        <v>2</v>
      </c>
      <c r="T89" s="280"/>
    </row>
    <row r="90" customFormat="false" ht="12.75" hidden="false" customHeight="false" outlineLevel="0" collapsed="false">
      <c r="Q90" s="280" t="s">
        <v>2697</v>
      </c>
      <c r="R90" s="280"/>
      <c r="S90" s="538" t="n">
        <f aca="false">IF(ISERROR(SUM($T$23:$T$82)/SUM($U$23:$U$82)),"",(SUM($T$23:$T$82)-S88)/(SUM($U$23:$U$82)-S89))</f>
        <v>14.6428571428571</v>
      </c>
      <c r="T90" s="280"/>
    </row>
    <row r="91" customFormat="false" ht="12.75" hidden="false" customHeight="false" outlineLevel="0" collapsed="false">
      <c r="Q91" s="487" t="s">
        <v>2698</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2699</v>
      </c>
      <c r="R92" s="280"/>
      <c r="S92" s="280" t="n">
        <f aca="false">MATCH(S87,$S$23:$S$82,0)</f>
        <v>6</v>
      </c>
      <c r="T92" s="280"/>
    </row>
    <row r="93" customFormat="false" ht="12.75" hidden="false" customHeight="false" outlineLevel="0" collapsed="false">
      <c r="Q93" s="487" t="s">
        <v>2700</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2701</v>
      </c>
      <c r="B2" s="284"/>
      <c r="C2" s="285" t="s">
        <v>2702</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2703</v>
      </c>
      <c r="B3" s="284"/>
      <c r="C3" s="283" t="s">
        <v>2704</v>
      </c>
      <c r="D3" s="294"/>
      <c r="E3" s="294"/>
      <c r="F3" s="295"/>
      <c r="G3" s="295"/>
      <c r="H3" s="296"/>
      <c r="I3" s="297"/>
      <c r="J3" s="296"/>
      <c r="K3" s="298" t="s">
        <v>2705</v>
      </c>
      <c r="L3" s="299"/>
      <c r="M3" s="300" t="s">
        <v>2706</v>
      </c>
      <c r="N3" s="301"/>
      <c r="O3" s="301"/>
      <c r="P3" s="302"/>
      <c r="Q3" s="280"/>
      <c r="R3" s="280"/>
      <c r="S3" s="280"/>
      <c r="T3" s="280"/>
      <c r="U3" s="280"/>
      <c r="V3" s="280"/>
      <c r="W3" s="292"/>
      <c r="X3" s="293"/>
    </row>
    <row r="4" customFormat="false" ht="13.5" hidden="false" customHeight="false" outlineLevel="0" collapsed="false">
      <c r="A4" s="303" t="s">
        <v>2707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2693</v>
      </c>
      <c r="R86" s="280"/>
      <c r="S86" s="488"/>
      <c r="T86" s="280"/>
      <c r="U86" s="280"/>
      <c r="V86" s="280"/>
    </row>
    <row r="87" customFormat="false" ht="12.75" hidden="true" customHeight="false" outlineLevel="0" collapsed="false">
      <c r="P87" s="280"/>
      <c r="Q87" s="280" t="s">
        <v>2694</v>
      </c>
      <c r="R87" s="280"/>
      <c r="S87" s="488" t="n">
        <f aca="false">VLOOKUP(MAX($S$23:$S$82),($S$23:$U$82),1,0)</f>
        <v>0</v>
      </c>
      <c r="T87" s="280"/>
      <c r="U87" s="280"/>
      <c r="V87" s="280"/>
    </row>
    <row r="88" customFormat="false" ht="12.75" hidden="true" customHeight="false" outlineLevel="0" collapsed="false">
      <c r="P88" s="280"/>
      <c r="Q88" s="280" t="s">
        <v>2695</v>
      </c>
      <c r="R88" s="280"/>
      <c r="S88" s="488" t="n">
        <f aca="false">VLOOKUP((S87),($S$23:$U$82),2,0)</f>
        <v>0</v>
      </c>
      <c r="T88" s="280"/>
      <c r="U88" s="280"/>
      <c r="V88" s="280"/>
    </row>
    <row r="89" customFormat="false" ht="12.75" hidden="true" customHeight="false" outlineLevel="0" collapsed="false">
      <c r="Q89" s="280" t="s">
        <v>2696</v>
      </c>
      <c r="R89" s="280"/>
      <c r="S89" s="488" t="n">
        <f aca="false">VLOOKUP((S87),($S$23:$U$82),3,0)</f>
        <v>0</v>
      </c>
      <c r="T89" s="280"/>
    </row>
    <row r="90" customFormat="false" ht="12.75" hidden="false" customHeight="false" outlineLevel="0" collapsed="false">
      <c r="Q90" s="280" t="s">
        <v>2697</v>
      </c>
      <c r="R90" s="280"/>
      <c r="S90" s="538" t="str">
        <f aca="false">IF(ISERROR(SUM($T$23:$T$82)/SUM($U$23:$U$82)),"",(SUM($T$23:$T$82)-S88)/(SUM($U$23:$U$82)-S89))</f>
        <v/>
      </c>
      <c r="T90" s="280"/>
    </row>
    <row r="91" customFormat="false" ht="12.75" hidden="false" customHeight="false" outlineLevel="0" collapsed="false">
      <c r="Q91" s="487" t="s">
        <v>2698</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2699</v>
      </c>
      <c r="R92" s="280"/>
      <c r="S92" s="280" t="n">
        <f aca="false">MATCH(S87,$S$23:$S$82,0)</f>
        <v>1</v>
      </c>
      <c r="T92" s="280"/>
    </row>
    <row r="93" customFormat="false" ht="12.75" hidden="false" customHeight="false" outlineLevel="0" collapsed="false">
      <c r="Q93" s="487" t="s">
        <v>2700</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2708</v>
      </c>
      <c r="B1" s="549"/>
      <c r="C1" s="549"/>
      <c r="D1" s="549"/>
    </row>
    <row r="2" customFormat="false" ht="15" hidden="false" customHeight="false" outlineLevel="0" collapsed="false">
      <c r="A2" s="550" t="s">
        <v>2709</v>
      </c>
      <c r="B2" s="551"/>
      <c r="C2" s="552"/>
      <c r="D2" s="552"/>
    </row>
    <row r="3" customFormat="false" ht="15.75" hidden="false" customHeight="false" outlineLevel="0" collapsed="false">
      <c r="A3" s="550" t="s">
        <v>2710</v>
      </c>
      <c r="B3" s="551"/>
      <c r="C3" s="552"/>
      <c r="D3" s="553" t="s">
        <v>2711</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2712</v>
      </c>
      <c r="G15" s="571"/>
      <c r="H15" s="572" t="s">
        <v>2713</v>
      </c>
      <c r="I15" s="571"/>
    </row>
    <row r="16" customFormat="false" ht="15" hidden="false" customHeight="false" outlineLevel="0" collapsed="false">
      <c r="A16" s="567" t="s">
        <v>1708</v>
      </c>
      <c r="B16" s="566" t="s">
        <v>1709</v>
      </c>
      <c r="C16" s="568"/>
      <c r="D16" s="569"/>
      <c r="F16" s="573" t="s">
        <v>2714</v>
      </c>
      <c r="G16" s="574"/>
      <c r="H16" s="573" t="s">
        <v>2714</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2715</v>
      </c>
      <c r="G18" s="577"/>
      <c r="H18" s="576" t="s">
        <v>2715</v>
      </c>
      <c r="I18" s="578"/>
    </row>
    <row r="19" customFormat="false" ht="15" hidden="false" customHeight="false" outlineLevel="0" collapsed="false">
      <c r="A19" s="565" t="s">
        <v>1711</v>
      </c>
      <c r="B19" s="566" t="s">
        <v>1712</v>
      </c>
      <c r="C19" s="568"/>
      <c r="D19" s="569"/>
      <c r="F19" s="576" t="s">
        <v>2716</v>
      </c>
      <c r="G19" s="577"/>
      <c r="H19" s="576" t="s">
        <v>2716</v>
      </c>
      <c r="I19" s="578"/>
    </row>
    <row r="20" customFormat="false" ht="15" hidden="false" customHeight="false" outlineLevel="0" collapsed="false">
      <c r="A20" s="567" t="s">
        <v>1714</v>
      </c>
      <c r="B20" s="566" t="s">
        <v>1715</v>
      </c>
      <c r="C20" s="568"/>
      <c r="D20" s="569"/>
      <c r="F20" s="576" t="s">
        <v>2717</v>
      </c>
      <c r="G20" s="577"/>
      <c r="H20" s="576" t="s">
        <v>2717</v>
      </c>
      <c r="I20" s="578"/>
    </row>
    <row r="21" customFormat="false" ht="15" hidden="false" customHeight="false" outlineLevel="0" collapsed="false">
      <c r="A21" s="567" t="s">
        <v>1720</v>
      </c>
      <c r="B21" s="566" t="s">
        <v>1721</v>
      </c>
      <c r="C21" s="568"/>
      <c r="D21" s="569"/>
      <c r="F21" s="576" t="s">
        <v>2718</v>
      </c>
      <c r="G21" s="577"/>
      <c r="H21" s="576" t="s">
        <v>2718</v>
      </c>
      <c r="I21" s="578"/>
    </row>
    <row r="22" customFormat="false" ht="15" hidden="false" customHeight="false" outlineLevel="0" collapsed="false">
      <c r="A22" s="565" t="s">
        <v>1726</v>
      </c>
      <c r="B22" s="566" t="s">
        <v>1727</v>
      </c>
      <c r="C22" s="568"/>
      <c r="D22" s="569"/>
      <c r="F22" s="576" t="s">
        <v>2719</v>
      </c>
      <c r="G22" s="577"/>
      <c r="H22" s="576" t="s">
        <v>2719</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2720</v>
      </c>
      <c r="G24" s="577"/>
      <c r="H24" s="576" t="s">
        <v>2720</v>
      </c>
      <c r="I24" s="578"/>
    </row>
    <row r="25" customFormat="false" ht="15" hidden="false" customHeight="false" outlineLevel="0" collapsed="false">
      <c r="A25" s="565" t="s">
        <v>2133</v>
      </c>
      <c r="B25" s="566" t="s">
        <v>2134</v>
      </c>
      <c r="C25" s="568"/>
      <c r="D25" s="569"/>
      <c r="F25" s="579" t="s">
        <v>2721</v>
      </c>
      <c r="G25" s="580"/>
      <c r="H25" s="579" t="s">
        <v>2721</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2687</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2722</v>
      </c>
    </row>
    <row r="35" customFormat="false" ht="15" hidden="false" customHeight="false" outlineLevel="0" collapsed="false">
      <c r="A35" s="565" t="s">
        <v>52</v>
      </c>
      <c r="B35" s="566" t="s">
        <v>53</v>
      </c>
      <c r="C35" s="568"/>
      <c r="D35" s="569"/>
      <c r="F35" s="583" t="s">
        <v>2639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2723</v>
      </c>
      <c r="C37" s="568"/>
      <c r="D37" s="569"/>
      <c r="F37" s="585" t="s">
        <v>2724</v>
      </c>
    </row>
    <row r="38" customFormat="false" ht="15" hidden="false" customHeight="false" outlineLevel="0" collapsed="false">
      <c r="A38" s="565" t="s">
        <v>2145</v>
      </c>
      <c r="B38" s="566" t="s">
        <v>2146</v>
      </c>
      <c r="C38" s="568"/>
      <c r="D38" s="569"/>
      <c r="F38" s="585" t="s">
        <v>2725</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2726</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2727</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2728</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2729</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2730</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2731</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2732</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2014-01-29T17:28:27Z</dcterms:modified>
  <cp:revision>0</cp:revision>
  <dc:subject/>
  <dc:title>Feuille d'aide au calcul de l'IBMR</dc:title>
</cp:coreProperties>
</file>