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22100 ABATESCO" sheetId="6" state="visible" r:id="rId8"/>
    <sheet name="modele" sheetId="7" state="hidden" r:id="rId9"/>
    <sheet name="liste codes réf" sheetId="8" state="hidden" r:id="rId10"/>
  </sheets>
  <definedNames>
    <definedName function="false" hidden="false" localSheetId="5" name="_xlnm.Print_Area" vbProcedure="false">'06222100 ABATESCO'!$A$1:$O$82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'06222100 ABATESCO'!$A$23:$J$84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<sst xmlns="http://schemas.openxmlformats.org/spreadsheetml/2006/main" count="7398" uniqueCount="2732">
  <si>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</si>
  <si>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</si>
  <si>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</si>
  <si>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</si>
  <si>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</si>
  <si>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</si>
  <si>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</si>
  <si>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</si>
  <si>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</si>
  <si>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</si>
  <si>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</si>
  <si>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</si>
  <si>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</si>
  <si>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</si>
  <si>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</si>
  <si>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</si>
  <si>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</si>
  <si>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</si>
  <si>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</si>
  <si>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</si>
  <si>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</si>
  <si>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</si>
  <si>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</si>
  <si>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</si>
  <si>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</si>
  <si>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</si>
  <si>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</si>
  <si>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</si>
  <si>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</si>
  <si>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</si>
  <si>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</si>
  <si>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</si>
  <si>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</si>
  <si>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</si>
  <si>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</si>
  <si>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</si>
  <si>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</si>
  <si>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</si>
  <si>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</si>
  <si>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</si>
  <si>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</si>
  <si>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</si>
  <si>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</si>
  <si>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</si>
  <si>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</si>
  <si>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</si>
  <si>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</si>
  <si>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</si>
  <si>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</si>
  <si>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</si>
  <si>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</si>
  <si>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</si>
  <si>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</si>
  <si>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</si>
  <si>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</si>
  <si>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</si>
  <si>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</si>
  <si>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</si>
  <si>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</si>
  <si>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</si>
  <si>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</si>
  <si>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</si>
  <si>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</si>
  <si>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</si>
  <si>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</si>
  <si>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</si>
  <si>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</si>
  <si>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</si>
  <si>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</si>
  <si>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</si>
  <si>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</si>
  <si>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</si>
  <si>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</si>
  <si>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</si>
  <si>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</si>
  <si>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</si>
  <si>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</si>
  <si>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</si>
  <si>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</si>
  <si>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</si>
  <si>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</si>
  <si>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</si>
  <si>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</si>
  <si>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</si>
  <si>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</si>
  <si>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</si>
  <si>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</si>
  <si>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</si>
  <si>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</si>
  <si>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</si>
  <si>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</si>
  <si>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</si>
  <si>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</si>
  <si>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</si>
  <si>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</si>
  <si>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</si>
  <si>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</si>
  <si>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</si>
  <si>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</si>
  <si>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</si>
  <si>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</si>
  <si>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</si>
  <si>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</si>
  <si>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</si>
  <si>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</si>
  <si>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</si>
  <si>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</si>
  <si>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</si>
  <si>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</si>
  <si>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</si>
  <si>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</si>
  <si>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</si>
  <si>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</si>
  <si>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</si>
  <si>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</si>
  <si>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</si>
  <si>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</si>
  <si>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</si>
  <si>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</si>
  <si>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</si>
  <si>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</si>
  <si>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</si>
  <si>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</si>
  <si>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</si>
  <si>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</si>
  <si>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</si>
  <si>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</si>
  <si>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</si>
  <si>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</si>
  <si>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</si>
  <si>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</si>
  <si>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</si>
  <si>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</si>
  <si>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</si>
  <si>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</si>
  <si>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</si>
  <si>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</si>
  <si>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</si>
  <si>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</si>
  <si>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</si>
  <si>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</si>
  <si>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</si>
  <si>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</si>
  <si>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</si>
  <si>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</si>
  <si>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</si>
  <si>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</si>
  <si>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</si>
  <si>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</si>
  <si>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</si>
  <si>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</si>
  <si>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</si>
  <si>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</si>
  <si>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</si>
  <si>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</si>
  <si>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</si>
  <si>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</si>
  <si>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</si>
  <si>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</si>
  <si>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</si>
  <si>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</si>
  <si>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</si>
  <si>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</si>
  <si>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</si>
  <si>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</si>
  <si>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</si>
  <si>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</si>
  <si>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</si>
  <si>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</si>
  <si>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</si>
  <si>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</si>
  <si>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</si>
  <si>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</si>
  <si>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</si>
  <si>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</si>
  <si>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</si>
  <si>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</si>
  <si>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</si>
  <si>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</si>
  <si>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</si>
  <si>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</si>
  <si>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</si>
  <si>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</si>
  <si>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</si>
  <si>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</si>
  <si>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</si>
  <si>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</si>
  <si>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</si>
  <si>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</si>
  <si>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</si>
  <si>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</si>
  <si>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</si>
  <si>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</si>
  <si>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</si>
  <si>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</si>
  <si>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</si>
  <si>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</si>
  <si>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</si>
  <si>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</si>
  <si>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</si>
  <si>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</si>
  <si>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</si>
  <si>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</si>
  <si>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</si>
  <si>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</si>
  <si>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</si>
  <si>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</si>
  <si>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</si>
  <si>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</si>
  <si>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</si>
  <si>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</si>
  <si>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</si>
  <si>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</si>
  <si>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</si>
  <si>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</si>
  <si>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</si>
  <si>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</si>
  <si>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</si>
  <si>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</si>
  <si>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</si>
  <si>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</si>
  <si>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</si>
  <si>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</si>
  <si>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</si>
  <si>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</si>
  <si>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</si>
  <si>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</si>
  <si>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</si>
  <si>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</si>
  <si>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</si>
  <si>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</si>
  <si>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</si>
  <si>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</si>
  <si>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</si>
  <si>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</si>
  <si>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</si>
  <si>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</si>
  <si>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</si>
  <si>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</si>
  <si>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</si>
  <si>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</si>
  <si>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</si>
  <si>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</si>
  <si>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</si>
  <si>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</si>
  <si>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</si>
  <si>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</si>
  <si>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</si>
  <si>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</si>
  <si>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</si>
  <si>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</si>
  <si>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</si>
  <si>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</si>
  <si>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</si>
  <si>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</si>
  <si>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</si>
  <si>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</si>
  <si>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</si>
  <si>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</si>
  <si>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</si>
  <si>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</si>
  <si>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</si>
  <si>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</si>
  <si>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</si>
  <si>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</si>
  <si>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</si>
  <si>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</si>
  <si>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</si>
  <si>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</si>
  <si>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</si>
  <si>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</si>
  <si>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</si>
  <si>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</si>
  <si>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</si>
  <si>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</si>
  <si>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</si>
  <si>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</si>
  <si>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</si>
  <si>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</si>
  <si>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</si>
  <si>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</si>
  <si>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</si>
  <si>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</si>
  <si>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</si>
  <si>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</si>
  <si>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</si>
  <si>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</si>
  <si>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</si>
  <si>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</si>
  <si>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</si>
  <si>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</si>
  <si>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</si>
  <si>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</si>
  <si>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</si>
  <si>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</si>
  <si>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</si>
  <si>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</si>
  <si>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</si>
  <si>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</si>
  <si>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</si>
  <si>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</si>
  <si>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</si>
  <si>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</si>
  <si>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</si>
  <si>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</si>
  <si>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</si>
  <si>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</si>
  <si>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</si>
  <si>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</si>
  <si>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</si>
  <si>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</si>
  <si>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</si>
  <si>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</si>
  <si>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</si>
  <si>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</si>
  <si>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</si>
  <si>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</si>
  <si>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</si>
  <si>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</si>
  <si>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</si>
  <si>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</si>
  <si>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</si>
  <si>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</si>
  <si>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</si>
  <si>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</si>
  <si>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</si>
  <si>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</si>
  <si>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</si>
  <si>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</si>
  <si>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</si>
  <si>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</si>
  <si>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</si>
  <si>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</si>
  <si>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</si>
  <si>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</si>
  <si>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</si>
  <si>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</si>
  <si>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</si>
  <si>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</si>
  <si>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</si>
  <si>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</si>
  <si>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</si>
  <si>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</si>
  <si>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</si>
  <si>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</si>
  <si>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</si>
  <si>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</si>
  <si>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</si>
  <si>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</si>
  <si>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</si>
  <si>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</si>
  <si>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</si>
  <si>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</si>
  <si>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</si>
  <si>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</si>
  <si>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</si>
  <si>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</si>
  <si>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</si>
  <si>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</si>
  <si>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</si>
  <si>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</si>
  <si>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</si>
  <si>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</si>
  <si>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</si>
  <si>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</si>
  <si>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</si>
  <si>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</si>
  <si>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</si>
  <si>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</si>
  <si>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</si>
  <si>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</si>
  <si>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</si>
  <si>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</si>
  <si>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</si>
  <si>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</si>
  <si>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</si>
  <si>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</si>
  <si>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</si>
  <si>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</si>
  <si>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</si>
  <si>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</si>
  <si>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</si>
  <si>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</si>
  <si>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</si>
  <si>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</si>
  <si>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</si>
  <si>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</si>
  <si>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</si>
  <si>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</si>
  <si>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</si>
  <si>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</si>
  <si>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</si>
  <si>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</si>
  <si>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</si>
  <si>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</si>
  <si>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</si>
  <si>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</si>
  <si>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</si>
  <si>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</si>
  <si>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</si>
  <si>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</si>
  <si>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</si>
  <si>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</si>
  <si>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</si>
  <si>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</si>
  <si>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</si>
  <si>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</si>
  <si>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</si>
  <si>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</si>
  <si>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</si>
  <si>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</si>
  <si>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</si>
  <si>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</si>
  <si>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</si>
  <si>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</si>
  <si>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</si>
  <si>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</si>
  <si>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</si>
  <si>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</si>
  <si>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</si>
  <si>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</si>
  <si>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</si>
  <si>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</si>
  <si>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</si>
  <si>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</si>
  <si>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</si>
  <si>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</si>
  <si>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</si>
  <si>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</si>
  <si>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</si>
  <si>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</si>
  <si>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</si>
  <si>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</si>
  <si>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</si>
  <si>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</si>
  <si>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</si>
  <si>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</si>
  <si>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</si>
  <si>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</si>
  <si>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</si>
  <si>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</si>
  <si>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</si>
  <si>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</si>
  <si>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</si>
  <si>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</si>
  <si>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</si>
  <si>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</si>
  <si>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</si>
  <si>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</si>
  <si>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</si>
  <si>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</si>
  <si>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</si>
  <si>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</si>
  <si>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</si>
  <si>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</si>
  <si>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</si>
  <si>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</si>
  <si>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</si>
  <si>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</si>
  <si>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</si>
  <si>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</si>
  <si>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</si>
  <si>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</si>
  <si>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</si>
  <si>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</si>
  <si>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</si>
  <si>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</si>
  <si>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</si>
  <si>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</si>
  <si>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</si>
  <si>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</si>
  <si>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</si>
  <si>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</si>
  <si>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</si>
  <si>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</si>
  <si>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</si>
  <si>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</si>
  <si>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</si>
  <si>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</si>
  <si>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</si>
  <si>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</si>
  <si>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</si>
  <si>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</si>
  <si>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</si>
  <si>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</si>
  <si>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</si>
  <si>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</si>
  <si>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</si>
  <si>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</si>
  <si>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</si>
  <si>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</si>
  <si>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</si>
  <si>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</si>
  <si>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</si>
  <si>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</si>
  <si>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</si>
  <si>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</si>
  <si>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</si>
  <si>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</si>
  <si>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</si>
  <si>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</si>
  <si>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</si>
  <si>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</si>
  <si>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</si>
  <si>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</si>
  <si>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</si>
  <si>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</si>
  <si>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</si>
  <si>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</si>
  <si>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</si>
  <si>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</si>
  <si>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</si>
  <si>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</si>
  <si>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</si>
  <si>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</si>
  <si>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</si>
  <si>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</si>
  <si>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</si>
  <si>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</si>
  <si>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</si>
  <si>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</si>
  <si>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</si>
  <si>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</si>
  <si>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</si>
  <si>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</si>
  <si>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</si>
  <si>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</si>
  <si>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</si>
  <si>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</si>
  <si>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</si>
  <si>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</si>
  <si>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</si>
  <si>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</si>
  <si>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</si>
  <si>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</si>
  <si>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</si>
  <si>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</si>
  <si>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</si>
  <si>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</si>
  <si>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</si>
  <si>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</si>
  <si>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</si>
  <si>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</si>
  <si>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</si>
  <si>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</si>
  <si>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</si>
  <si>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</si>
  <si>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</si>
  <si>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</si>
  <si>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</si>
  <si>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</si>
  <si>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</si>
  <si>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</si>
  <si>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</si>
  <si>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</si>
  <si>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</si>
  <si>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</si>
  <si>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</si>
  <si>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</si>
  <si>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</si>
  <si>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</si>
  <si>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</si>
  <si>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</si>
  <si>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</si>
  <si>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</si>
  <si>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</si>
  <si>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</si>
  <si>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</si>
  <si>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</si>
  <si>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</si>
  <si>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</si>
  <si>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</si>
  <si>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</si>
  <si>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</si>
  <si>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</si>
  <si>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</si>
  <si>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</si>
  <si>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</si>
  <si>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</si>
  <si>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</si>
  <si>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</si>
  <si>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</si>
  <si>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</si>
  <si>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</si>
  <si>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</si>
  <si>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</si>
  <si>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</si>
  <si>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</si>
  <si>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</si>
  <si>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</si>
  <si>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</si>
  <si>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</si>
  <si>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</si>
  <si>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</si>
  <si>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</si>
  <si>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</si>
  <si>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</si>
  <si>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</si>
  <si>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</si>
  <si>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</si>
  <si>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</si>
  <si>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</si>
  <si>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</si>
  <si>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</si>
  <si>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</si>
  <si>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</si>
  <si>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</si>
  <si>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</si>
  <si>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</si>
  <si>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</si>
  <si>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</si>
  <si>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</si>
  <si>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</si>
  <si>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</si>
  <si>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</si>
  <si>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</si>
  <si>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</si>
  <si>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</si>
  <si>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</si>
  <si>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</si>
  <si>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</si>
  <si>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</si>
  <si>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</si>
  <si>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</si>
  <si>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</si>
  <si>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</si>
  <si>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</si>
  <si>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</si>
  <si>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</si>
  <si>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</si>
  <si>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</si>
  <si>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</si>
  <si>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</si>
  <si>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</si>
  <si>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</si>
  <si>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</si>
  <si>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</si>
  <si>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</si>
  <si>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</si>
  <si>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</si>
  <si>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</si>
  <si>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</si>
  <si>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</si>
  <si>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</si>
  <si>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</si>
  <si>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</si>
  <si>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</si>
  <si>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</si>
  <si>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</si>
  <si>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</si>
  <si>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</si>
  <si>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</si>
  <si>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</si>
  <si>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</si>
  <si>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</si>
  <si>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</si>
  <si>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</si>
  <si>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</si>
  <si>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</si>
  <si>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</si>
  <si>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</si>
  <si>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</si>
  <si>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</si>
  <si>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</si>
  <si>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</si>
  <si>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</si>
  <si>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</si>
  <si>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</si>
  <si>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</si>
  <si>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</si>
  <si>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</si>
  <si>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</si>
  <si>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</si>
  <si>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</si>
  <si>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</si>
  <si>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</si>
  <si>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</si>
  <si>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</si>
  <si>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</si>
  <si>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</si>
  <si>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</si>
  <si>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</si>
  <si>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</si>
  <si>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</si>
  <si>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</si>
  <si>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</si>
  <si>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</si>
  <si>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</si>
  <si>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</si>
  <si>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</si>
  <si>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</si>
  <si>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</si>
  <si>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</si>
  <si>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</si>
  <si>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</si>
  <si>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</si>
  <si>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</si>
  <si>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</si>
  <si>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</si>
  <si>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</si>
  <si>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</si>
  <si>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</si>
  <si>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</si>
  <si>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</si>
  <si>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</si>
  <si>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</si>
  <si>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</si>
  <si>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</si>
  <si>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</si>
  <si>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</si>
  <si>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</si>
  <si>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</si>
  <si>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</si>
  <si>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</si>
  <si>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</si>
  <si>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</si>
  <si>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</si>
  <si>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</si>
  <si>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</si>
  <si>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</si>
  <si>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</si>
  <si>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</si>
  <si>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</si>
  <si>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</si>
  <si>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</si>
  <si>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</si>
  <si>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</si>
  <si>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</si>
  <si>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</si>
  <si>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</si>
  <si>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</si>
  <si>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</si>
  <si>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</si>
  <si>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</si>
  <si>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</si>
  <si>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</si>
  <si>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</si>
  <si>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</si>
  <si>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</si>
  <si>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</si>
  <si>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</si>
  <si>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</si>
  <si>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</si>
  <si>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</si>
  <si>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</si>
  <si>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</si>
  <si>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</si>
  <si>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</si>
  <si>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</si>
  <si>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</si>
  <si>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</si>
  <si>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</si>
  <si>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</si>
  <si>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</si>
  <si>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</si>
  <si>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</si>
  <si>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</si>
  <si>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</si>
  <si>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</si>
  <si>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</si>
  <si>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</si>
  <si>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</si>
  <si>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</si>
  <si>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</si>
  <si>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</si>
  <si>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</si>
  <si>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</si>
  <si>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</si>
  <si>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</si>
  <si>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</si>
  <si>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</si>
  <si>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</si>
  <si>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</si>
  <si>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</si>
  <si>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</si>
  <si>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</si>
  <si>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</si>
  <si>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</si>
  <si>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</si>
  <si>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</si>
  <si>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</si>
  <si>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</si>
  <si>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</si>
  <si>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</si>
  <si>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</si>
  <si>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</si>
  <si>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</si>
  <si>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</si>
  <si>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</si>
  <si>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</si>
  <si>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</si>
  <si>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</si>
  <si>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</si>
  <si>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</si>
  <si>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</si>
  <si>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</si>
  <si>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</si>
  <si>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</si>
  <si>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</si>
  <si>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</si>
  <si>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</si>
  <si>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</si>
  <si>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</si>
  <si>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</si>
  <si>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</si>
  <si>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</si>
  <si>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</si>
  <si>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</si>
  <si>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</si>
  <si>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</si>
  <si>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</si>
  <si>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</si>
  <si>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</si>
  <si>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</si>
  <si>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</si>
  <si>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</si>
  <si>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</si>
  <si>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</si>
  <si>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</si>
  <si>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</si>
  <si>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</si>
  <si>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</si>
  <si>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</si>
  <si>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</si>
  <si>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</si>
  <si>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</si>
  <si>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</si>
  <si>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</si>
  <si>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</si>
  <si>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</si>
  <si>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</si>
  <si>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</si>
  <si>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</si>
  <si>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</si>
  <si>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</si>
  <si>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</si>
  <si>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</si>
  <si>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</si>
  <si>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</si>
  <si>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</si>
  <si>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</si>
  <si>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</si>
  <si>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</si>
  <si>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</si>
  <si>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</si>
  <si>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</si>
  <si>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</si>
  <si>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</si>
  <si>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</si>
  <si>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</si>
  <si>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</si>
  <si>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</si>
  <si>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</si>
  <si>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</si>
  <si>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</si>
  <si>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</si>
  <si>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</si>
  <si>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</si>
  <si>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</si>
  <si>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</si>
  <si>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</si>
  <si>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</si>
  <si>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</si>
  <si>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</si>
  <si>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</si>
  <si>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</si>
  <si>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</si>
  <si>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</si>
  <si>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</si>
  <si>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</si>
  <si>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</si>
  <si>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</si>
  <si>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</si>
  <si>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</si>
  <si>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</si>
  <si>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</si>
  <si>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</si>
  <si>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</si>
  <si>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</si>
  <si>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</si>
  <si>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</si>
  <si>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</si>
  <si>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</si>
  <si>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</si>
  <si>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</si>
  <si>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</si>
  <si>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</si>
  <si>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</si>
  <si>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</si>
  <si>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</si>
  <si>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</si>
  <si>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</si>
  <si>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</si>
  <si>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</si>
  <si>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</si>
  <si>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</si>
  <si>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</si>
  <si>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</si>
  <si>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</si>
  <si>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</si>
  <si>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</si>
  <si>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</si>
  <si>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</si>
  <si>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</si>
  <si>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</si>
  <si>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</si>
  <si>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</si>
  <si>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</si>
  <si>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</si>
  <si>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</si>
  <si>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</si>
  <si>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</si>
  <si>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</si>
  <si>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</si>
  <si>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</si>
  <si>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</si>
  <si>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</si>
  <si>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</si>
  <si>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</si>
  <si>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</si>
  <si>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</si>
  <si>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</si>
  <si>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</si>
  <si>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</si>
  <si>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</si>
  <si>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</si>
  <si>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</si>
  <si>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</si>
  <si>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</si>
  <si>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</si>
  <si>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</si>
  <si>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</si>
  <si>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</si>
  <si>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</si>
  <si>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</si>
  <si>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</si>
  <si>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</si>
  <si>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</si>
  <si>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</si>
  <si>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</si>
  <si>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</si>
  <si>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</si>
  <si>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</si>
  <si>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</si>
  <si>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</si>
  <si>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</si>
  <si>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</si>
  <si>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</si>
  <si>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</si>
  <si>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</si>
  <si>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</si>
  <si>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</si>
  <si>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</si>
  <si>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</si>
  <si>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</si>
  <si>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</si>
  <si>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</si>
  <si>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</si>
  <si>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</si>
  <si>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</si>
  <si>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</si>
  <si>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</si>
  <si>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</si>
  <si>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</si>
  <si>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</si>
  <si>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</si>
  <si>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</si>
  <si>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</si>
  <si>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</si>
  <si>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</si>
  <si>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</si>
  <si>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</si>
  <si>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</si>
  <si>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</si>
  <si>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</si>
  <si>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</si>
  <si>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</si>
  <si>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</si>
  <si>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</si>
  <si>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</si>
  <si>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</si>
  <si>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</si>
  <si>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</si>
  <si>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</si>
  <si>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</si>
  <si>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</si>
  <si>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</si>
  <si>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</si>
  <si>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</si>
  <si>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</si>
  <si>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</si>
  <si>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</si>
  <si>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</si>
  <si>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</si>
  <si>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</si>
  <si>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</si>
  <si>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</si>
  <si>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</si>
  <si>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</si>
  <si>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</si>
  <si>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</si>
  <si>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</si>
  <si>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</si>
  <si>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</si>
  <si>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</si>
  <si>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</si>
  <si>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</si>
  <si>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</si>
  <si>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</si>
  <si>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</si>
  <si>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</si>
  <si>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</si>
  <si>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</si>
  <si>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</si>
  <si>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</si>
  <si>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</si>
  <si>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</si>
  <si>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</si>
  <si>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</si>
  <si>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</si>
  <si>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</si>
  <si>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</si>
  <si>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</si>
  <si>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</si>
  <si>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</si>
  <si>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</si>
  <si>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</si>
  <si>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</si>
  <si>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</si>
  <si>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</si>
  <si>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</si>
  <si>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</si>
  <si>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</si>
  <si>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</si>
  <si>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</si>
  <si>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</si>
  <si>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</si>
  <si>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</si>
  <si>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</si>
  <si>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</si>
  <si>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</si>
  <si>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</si>
  <si>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</si>
  <si>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</si>
  <si>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</si>
  <si>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</si>
  <si>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</si>
  <si>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</si>
  <si>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</si>
  <si>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</si>
  <si>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</si>
  <si>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</si>
  <si>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</si>
  <si>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</si>
  <si>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</si>
  <si>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</si>
  <si>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</si>
  <si>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</si>
  <si>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</si>
  <si>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</si>
  <si>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</si>
  <si>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</si>
  <si>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</si>
  <si>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</si>
  <si>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</si>
  <si>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</si>
  <si>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</si>
  <si>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</si>
  <si>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</si>
  <si>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</si>
  <si>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</si>
  <si>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</si>
  <si>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</si>
  <si>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</si>
  <si>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</si>
  <si>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</si>
  <si>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</si>
  <si>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</si>
  <si>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</si>
  <si>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</si>
  <si>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</si>
  <si>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</si>
  <si>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</si>
  <si>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</si>
  <si>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</si>
  <si>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</si>
  <si>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</si>
  <si>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</si>
  <si>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</si>
  <si>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</si>
  <si>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</si>
  <si>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</si>
  <si>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</si>
  <si>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</si>
  <si>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</si>
  <si>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</si>
  <si>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</si>
  <si>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</si>
  <si>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</si>
  <si>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</si>
  <si>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</si>
  <si>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</si>
  <si>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</si>
  <si>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</si>
  <si>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</si>
  <si>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</si>
  <si>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</si>
  <si>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</si>
  <si>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</si>
  <si>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</si>
  <si>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</si>
  <si>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</si>
  <si>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</si>
  <si>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</si>
  <si>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</si>
  <si>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</si>
  <si>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</si>
  <si>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</si>
  <si>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</si>
  <si>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</si>
  <si>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</si>
  <si>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</si>
  <si>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</si>
  <si>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</si>
  <si>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</si>
  <si>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</si>
  <si>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</si>
  <si>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</si>
  <si>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</si>
  <si>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</si>
  <si>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</si>
  <si>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</si>
  <si>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</si>
  <si>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</si>
  <si>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</si>
  <si>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</si>
  <si>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</si>
  <si>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</si>
  <si>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</si>
  <si>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</si>
  <si>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</si>
  <si>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</si>
  <si>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</si>
  <si>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</si>
  <si>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</si>
  <si>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</si>
  <si>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</si>
  <si>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</si>
  <si>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</si>
  <si>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</si>
  <si>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</si>
  <si>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</si>
  <si>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</si>
  <si>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</si>
  <si>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</si>
  <si>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</si>
  <si>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</si>
  <si>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</si>
  <si>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</si>
  <si>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</si>
  <si>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</si>
  <si>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</si>
  <si>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</si>
  <si>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</si>
  <si>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</si>
  <si>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</si>
  <si>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</si>
  <si>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</si>
  <si>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</si>
  <si>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</si>
  <si>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</si>
  <si>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</si>
  <si>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</si>
  <si>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</si>
  <si>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</si>
  <si>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</si>
  <si>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</si>
  <si>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</si>
  <si>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</si>
  <si>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</si>
  <si>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</si>
  <si>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</si>
  <si>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</si>
  <si>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</si>
  <si>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</si>
  <si>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</si>
  <si>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</si>
  <si>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</si>
  <si>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</si>
  <si>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</si>
  <si>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</si>
  <si>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</si>
  <si>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</si>
  <si>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</si>
  <si>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</si>
  <si>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</si>
  <si>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</si>
  <si>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</si>
  <si>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</si>
  <si>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</si>
  <si>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</si>
  <si>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</si>
  <si>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</si>
  <si>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</si>
  <si>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</si>
  <si>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</si>
  <si>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</si>
  <si>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</si>
  <si>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</si>
  <si>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</si>
  <si>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</si>
  <si>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</si>
  <si>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</si>
  <si>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</si>
  <si>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</si>
  <si>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</si>
  <si>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</si>
  <si>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</si>
  <si>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</si>
  <si>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</si>
  <si>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</si>
  <si>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</si>
  <si>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</si>
  <si>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</si>
  <si>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</si>
  <si>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</si>
  <si>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</si>
  <si>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</si>
  <si>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</si>
  <si>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</si>
  <si>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</si>
  <si>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</si>
  <si>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</si>
  <si>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</si>
  <si>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</si>
  <si>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</si>
  <si>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</si>
  <si>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</si>
  <si>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</si>
  <si>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</si>
  <si>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</si>
  <si>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</si>
  <si>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</si>
  <si>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</si>
  <si>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</si>
  <si>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</si>
  <si>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</si>
  <si>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</si>
  <si>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</si>
  <si>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</si>
  <si>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</si>
  <si>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</si>
  <si>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</si>
  <si>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</si>
  <si>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</si>
  <si>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</si>
  <si>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</si>
  <si>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</si>
  <si>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</si>
  <si>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</si>
  <si>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</si>
  <si>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</si>
  <si>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</si>
  <si>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</si>
  <si>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</si>
  <si>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</si>
  <si>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</si>
  <si>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</si>
  <si>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</si>
  <si>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</si>
  <si>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</si>
  <si>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</si>
  <si>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</si>
  <si>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</si>
  <si>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</si>
  <si>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</si>
  <si>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</si>
  <si>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</si>
  <si>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</si>
  <si>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</si>
  <si>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</si>
  <si>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</si>
  <si>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</si>
  <si>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</si>
  <si>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</si>
  <si>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</si>
  <si>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</si>
  <si>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</si>
  <si>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</si>
  <si>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</si>
  <si>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</si>
  <si>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</si>
  <si>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</si>
  <si>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</si>
  <si>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</si>
  <si>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</si>
  <si>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</si>
  <si>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</si>
  <si>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</si>
  <si>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</si>
  <si>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</si>
  <si>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</si>
  <si>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</si>
  <si>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</si>
  <si>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</si>
  <si>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</si>
  <si>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</si>
  <si>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</si>
  <si>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</si>
  <si>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</si>
  <si>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</si>
  <si>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</si>
  <si>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</si>
  <si>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</si>
  <si>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</si>
  <si>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</si>
  <si>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</si>
  <si>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</si>
  <si>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</si>
  <si>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</si>
  <si>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</si>
  <si>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</si>
  <si>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</si>
  <si>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</si>
  <si>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</si>
  <si>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</si>
  <si>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</si>
  <si>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</si>
  <si>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</si>
  <si>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</si>
  <si>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</si>
  <si>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</si>
  <si>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</si>
  <si>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</si>
  <si>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</si>
  <si>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</si>
  <si>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</si>
  <si>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</si>
  <si>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</si>
  <si>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</si>
  <si>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</si>
  <si>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</si>
  <si>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</si>
  <si>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</si>
  <si>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</si>
  <si>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</si>
  <si>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</si>
  <si>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</si>
  <si>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</si>
  <si>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</si>
  <si>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</si>
  <si>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</si>
  <si>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</si>
  <si>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</si>
  <si>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</si>
  <si>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</si>
  <si>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</si>
  <si>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</si>
  <si>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</si>
  <si>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</si>
  <si>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</si>
  <si>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</si>
  <si>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</si>
  <si>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</si>
  <si>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</si>
  <si>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</si>
  <si>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</si>
  <si>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</si>
  <si>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</si>
  <si>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</si>
  <si>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</si>
  <si>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</si>
  <si>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</si>
  <si>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</si>
  <si>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</si>
  <si>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</si>
  <si>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</si>
  <si>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</si>
  <si>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</si>
  <si>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</si>
  <si>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</si>
  <si>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</si>
  <si>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</si>
  <si>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</si>
  <si>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</si>
  <si>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</si>
  <si>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</si>
  <si>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</si>
  <si>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</si>
  <si>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</si>
  <si>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</si>
  <si>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</si>
  <si>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</si>
  <si>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</si>
  <si>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</si>
  <si>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</si>
  <si>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</si>
  <si>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</si>
  <si>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</si>
  <si>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</si>
  <si>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</si>
  <si>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</si>
  <si>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</si>
  <si>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</si>
  <si>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</si>
  <si>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</si>
  <si>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</si>
  <si>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</si>
  <si>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</si>
  <si>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</si>
  <si>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</si>
  <si>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</si>
  <si>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</si>
  <si>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</si>
  <si>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</si>
  <si>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</si>
  <si>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</si>
  <si>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</si>
  <si>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</si>
  <si>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</si>
  <si>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</si>
  <si>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</si>
  <si>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</si>
  <si>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</si>
  <si>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</si>
  <si>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</si>
  <si>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</si>
  <si>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</si>
  <si>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</si>
  <si>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</si>
  <si>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</si>
  <si>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</si>
  <si>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</si>
  <si>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</si>
  <si>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</si>
  <si>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</si>
  <si>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</si>
  <si>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</si>
  <si>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</si>
  <si>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</si>
  <si>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</si>
  <si>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</si>
  <si>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</si>
  <si>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</si>
  <si>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</si>
  <si>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</si>
  <si>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</si>
  <si>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</si>
  <si>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</si>
  <si>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</si>
  <si>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</si>
  <si>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</si>
  <si>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</si>
  <si>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</si>
  <si>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</si>
  <si>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</si>
  <si>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</si>
  <si>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</si>
  <si>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</si>
  <si>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</si>
  <si>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</si>
  <si>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</si>
  <si>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</si>
  <si>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</si>
  <si>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</si>
  <si>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</si>
  <si>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</si>
  <si>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</si>
  <si>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</si>
  <si>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</si>
  <si>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</si>
  <si>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</si>
  <si>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</si>
  <si>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</si>
  <si>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</si>
  <si>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</si>
  <si>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</si>
  <si>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</si>
  <si>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</si>
  <si>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</si>
  <si>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</si>
  <si>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</si>
  <si>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</si>
  <si>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</si>
  <si>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</si>
  <si>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</si>
  <si>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</si>
  <si>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</si>
  <si>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</si>
  <si>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</si>
  <si>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</si>
  <si>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</si>
  <si>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</si>
  <si>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</si>
  <si>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</si>
  <si>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</si>
  <si>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</si>
  <si>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</si>
  <si>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</si>
  <si>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</si>
  <si>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</si>
  <si>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</si>
  <si>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</si>
  <si>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</si>
  <si>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</si>
  <si>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</si>
  <si>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</si>
  <si>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</si>
  <si>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</si>
  <si>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</si>
  <si>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</si>
  <si>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</si>
  <si>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</si>
  <si>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</si>
  <si>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</si>
  <si>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</si>
  <si>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</si>
  <si>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</si>
  <si>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</si>
  <si>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</si>
  <si>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</si>
  <si>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</si>
  <si>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</si>
  <si>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</si>
  <si>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</si>
  <si>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</si>
  <si>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</si>
  <si>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</si>
  <si>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</si>
  <si>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</si>
  <si>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</si>
  <si>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</si>
  <si>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</si>
  <si>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</si>
  <si>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</si>
  <si>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</si>
  <si>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</si>
  <si>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</si>
  <si>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</si>
  <si>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</si>
  <si>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</si>
  <si>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</si>
  <si>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</si>
  <si>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</si>
  <si>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</si>
  <si>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</si>
  <si>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</si>
  <si>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</si>
  <si>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</si>
  <si>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</si>
  <si>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</si>
  <si>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</si>
  <si>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</si>
  <si>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</si>
  <si>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</si>
  <si>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</si>
  <si>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</si>
  <si>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</si>
  <si>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</si>
  <si>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</si>
  <si>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</si>
  <si>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</si>
  <si>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</si>
  <si>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</si>
  <si>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</si>
  <si>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</si>
  <si>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</si>
  <si>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</si>
  <si>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</si>
  <si>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</si>
  <si>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</si>
  <si>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</si>
  <si>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</si>
  <si>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</si>
  <si>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</si>
  <si>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</si>
  <si>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</si>
  <si>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</si>
  <si>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</si>
  <si>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</si>
  <si>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</si>
  <si>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</si>
  <si>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</si>
  <si>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</si>
  <si>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</si>
  <si>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</si>
  <si>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</si>
  <si>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</si>
  <si>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</si>
  <si>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</si>
  <si>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</si>
  <si>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</si>
  <si>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</si>
  <si>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</si>
  <si>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</si>
  <si>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</si>
  <si>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</si>
  <si>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</si>
  <si>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</si>
  <si>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</si>
  <si>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</si>
  <si>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</si>
  <si>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</si>
  <si>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</si>
  <si>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</si>
  <si>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</si>
  <si>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</si>
  <si>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</si>
  <si>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</si>
  <si>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</si>
  <si>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</si>
  <si>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</si>
  <si>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</si>
  <si>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</si>
  <si>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</si>
  <si>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</si>
  <si>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</si>
  <si>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</si>
  <si>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</si>
  <si>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</si>
  <si>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</si>
  <si>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</si>
  <si>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</si>
  <si>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</si>
  <si>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</si>
  <si>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</si>
  <si>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</si>
  <si>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</si>
  <si>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</si>
  <si>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</si>
  <si>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</si>
  <si>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</si>
  <si>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</si>
  <si>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</si>
  <si>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</si>
  <si>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</si>
  <si>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</si>
  <si>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</si>
  <si>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</si>
  <si>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</si>
  <si>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</si>
  <si>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</si>
  <si>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</si>
  <si>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</si>
  <si>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</si>
  <si>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</si>
  <si>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</si>
  <si>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</si>
  <si>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</si>
  <si>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</si>
  <si>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</si>
  <si>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</si>
  <si>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</si>
  <si>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</si>
  <si>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</si>
  <si>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</si>
  <si>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</si>
  <si>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</si>
  <si>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</si>
  <si>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</si>
  <si>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</si>
  <si>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</si>
  <si>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</si>
  <si>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</si>
  <si>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</si>
  <si>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</si>
  <si>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</si>
  <si>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</si>
  <si>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</si>
  <si>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</si>
  <si>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</si>
  <si>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</si>
  <si>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</si>
  <si>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</si>
  <si>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</si>
  <si>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</si>
  <si>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</si>
  <si>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</si>
  <si>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</si>
  <si>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</si>
  <si>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</si>
  <si>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</si>
  <si>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</si>
  <si>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</si>
  <si>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</si>
  <si>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</si>
  <si>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</si>
  <si>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</si>
  <si>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</si>
  <si>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</si>
  <si>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</si>
  <si>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</si>
  <si>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</si>
  <si>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</si>
  <si>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</si>
  <si>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</si>
  <si>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</si>
  <si>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</si>
  <si>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</si>
  <si>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</si>
  <si>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</si>
  <si>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</si>
  <si>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</si>
  <si>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</si>
  <si>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</si>
  <si>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</si>
  <si>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</si>
  <si>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</si>
  <si>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</si>
  <si>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</si>
  <si>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</si>
  <si>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</si>
  <si>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</si>
  <si>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</si>
  <si>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</si>
  <si>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</si>
  <si>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</si>
  <si>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</si>
  <si>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</si>
  <si>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</si>
  <si>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</si>
  <si>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</si>
  <si>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</si>
  <si>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</si>
  <si>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</si>
  <si>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</si>
  <si>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</si>
  <si>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</si>
  <si>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</si>
  <si>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</si>
  <si>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</si>
  <si>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</si>
  <si>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</si>
  <si>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</si>
  <si>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</si>
  <si>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</si>
  <si>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</si>
  <si>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</si>
  <si>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</si>
  <si>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</si>
  <si>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</si>
  <si>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</si>
  <si>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</si>
  <si>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</si>
  <si>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</si>
  <si>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</si>
  <si>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</si>
  <si>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</si>
  <si>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</si>
  <si>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</si>
  <si>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</si>
  <si>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</si>
  <si>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</si>
  <si>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</si>
  <si>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</si>
  <si>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</si>
  <si>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</si>
  <si>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</si>
  <si>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</si>
  <si>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</si>
  <si>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</si>
  <si>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</si>
  <si>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</si>
  <si>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</si>
  <si>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</si>
  <si>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</si>
  <si>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</si>
  <si>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</si>
  <si>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</si>
  <si>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</si>
  <si>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</si>
  <si>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</si>
  <si>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</si>
  <si>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</si>
  <si>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</si>
  <si>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</si>
  <si>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</si>
  <si>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</si>
  <si>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</si>
  <si>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</si>
  <si>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</si>
  <si>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</si>
  <si>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</si>
  <si>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</si>
  <si>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</si>
  <si>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</si>
  <si>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</si>
  <si>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</si>
  <si>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</si>
  <si>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</si>
  <si>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</si>
  <si>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</si>
  <si>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</si>
  <si>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</si>
  <si>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</si>
  <si>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</si>
  <si>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</si>
  <si>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</si>
  <si>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</si>
  <si>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</si>
  <si>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</si>
  <si>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</si>
  <si>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</si>
  <si>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</si>
  <si>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</si>
  <si>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</si>
  <si>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</si>
  <si>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</si>
  <si>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</si>
  <si>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</si>
  <si>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</si>
  <si>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</si>
  <si>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</si>
  <si>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</si>
  <si>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</si>
  <si>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</si>
  <si>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</si>
  <si>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</si>
  <si>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</si>
  <si>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</si>
  <si>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</si>
  <si>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</si>
  <si>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</si>
  <si>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</si>
  <si>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</si>
  <si>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</si>
  <si>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</si>
  <si>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</si>
  <si>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</si>
  <si>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</si>
  <si>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</si>
  <si>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</si>
  <si>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</si>
  <si>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</si>
  <si>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</si>
  <si>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</si>
  <si>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</si>
  <si>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</si>
  <si>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</si>
  <si>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</si>
  <si>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</si>
  <si>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</si>
  <si>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</si>
  <si>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</si>
  <si>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</si>
  <si>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</si>
  <si>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</si>
  <si>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</si>
  <si>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</si>
  <si>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</si>
  <si>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</si>
  <si>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</si>
  <si>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</si>
  <si>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</si>
  <si>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</si>
  <si>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</si>
  <si>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</si>
  <si>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</si>
  <si>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</si>
  <si>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</si>
  <si>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</si>
  <si>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</si>
  <si>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</si>
  <si>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</si>
  <si>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</si>
  <si>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</si>
  <si>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</si>
  <si>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</si>
  <si>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</si>
  <si>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</si>
  <si>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</si>
  <si>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</si>
  <si>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</si>
  <si>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</si>
  <si>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</si>
  <si>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</si>
  <si>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</si>
  <si>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</si>
  <si>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</si>
  <si>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</si>
  <si>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</si>
  <si>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</si>
  <si>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</si>
  <si>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</si>
  <si>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</si>
  <si>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</si>
  <si>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</si>
  <si>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</si>
  <si>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</si>
  <si>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</si>
  <si>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</si>
  <si>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</si>
  <si>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</si>
  <si>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</si>
  <si>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</si>
  <si>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</si>
  <si>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</si>
  <si>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</si>
  <si>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</si>
  <si>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</si>
  <si>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</si>
  <si>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</si>
  <si>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</si>
  <si>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</si>
  <si>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</si>
  <si>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</si>
  <si>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</si>
  <si>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</si>
  <si>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</si>
  <si>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</si>
  <si>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</si>
  <si>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</si>
  <si>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</si>
  <si>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</si>
  <si>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</si>
  <si>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</si>
  <si>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</si>
  <si>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</si>
  <si>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</si>
  <si>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</si>
  <si>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</si>
  <si>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</si>
  <si>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</si>
  <si>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</si>
  <si>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</si>
  <si>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</si>
  <si>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</si>
  <si>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</si>
  <si>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</si>
  <si>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</si>
  <si>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</si>
  <si>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</si>
  <si>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</si>
  <si>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</si>
  <si>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</si>
  <si>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</si>
  <si>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</si>
  <si>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</si>
  <si>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</si>
  <si>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</si>
  <si>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</si>
  <si>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</si>
  <si>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</si>
  <si>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</si>
  <si>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</si>
  <si>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</si>
  <si>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</si>
  <si>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</si>
  <si>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</si>
  <si>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</si>
  <si>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</si>
  <si>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</si>
  <si>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</si>
  <si>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</si>
  <si>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</si>
  <si>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</si>
  <si>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</si>
  <si>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</si>
  <si>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</si>
  <si>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</si>
  <si>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</si>
  <si>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</si>
  <si>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</si>
  <si>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</si>
  <si>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</si>
  <si>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</si>
  <si>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</si>
  <si>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</si>
  <si>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</si>
  <si>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</si>
  <si>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</si>
  <si>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</si>
  <si>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</si>
  <si>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</si>
  <si>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</si>
  <si>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</si>
  <si>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</si>
  <si>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</si>
  <si>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</si>
  <si>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</si>
  <si>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</si>
  <si>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</si>
  <si>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</si>
  <si>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</si>
  <si>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</si>
  <si>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</si>
  <si>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</si>
  <si>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</si>
  <si>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</si>
  <si>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</si>
  <si>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</si>
  <si>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</si>
  <si>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</si>
  <si>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</si>
  <si>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</si>
  <si>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</si>
  <si>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</si>
  <si>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</si>
  <si>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</si>
  <si>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</si>
  <si>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</si>
  <si>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</si>
  <si>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</si>
  <si>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</si>
  <si>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</si>
  <si>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</si>
  <si>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</si>
  <si>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</si>
  <si>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</si>
  <si>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</si>
  <si>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</si>
  <si>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</si>
  <si>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</si>
  <si>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</si>
  <si>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</si>
  <si>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</si>
  <si>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</si>
  <si>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</si>
  <si>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</si>
  <si>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</si>
  <si>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</si>
  <si>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</si>
  <si>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</si>
  <si>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</si>
  <si>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</si>
  <si>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</si>
  <si>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</si>
  <si>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</si>
  <si>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</si>
  <si>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</si>
  <si>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</si>
  <si>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</si>
  <si>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</si>
  <si>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</si>
  <si>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</si>
  <si>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</si>
  <si>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</si>
  <si>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</si>
  <si>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</si>
  <si>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</si>
  <si>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</si>
  <si>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</si>
  <si>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</si>
  <si>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</si>
  <si>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</si>
  <si>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</si>
  <si>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</si>
  <si>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</si>
  <si>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</si>
  <si>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</si>
  <si>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</si>
  <si>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</si>
  <si>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</si>
  <si>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</si>
  <si>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</si>
  <si>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</si>
  <si>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</si>
  <si>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</si>
  <si>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</si>
  <si>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</si>
  <si>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</si>
  <si>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</si>
  <si>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</si>
  <si>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</si>
  <si>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</si>
  <si>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</si>
  <si>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</si>
  <si>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</si>
  <si>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</si>
  <si>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</si>
  <si>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</si>
  <si>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</si>
  <si>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</si>
  <si>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</si>
  <si>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</si>
  <si>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</si>
  <si>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</si>
  <si>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</si>
  <si>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</si>
  <si>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</si>
  <si>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</si>
  <si>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</si>
  <si>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</si>
  <si>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</si>
  <si>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</si>
  <si>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</si>
  <si>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</si>
  <si>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</si>
  <si>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</si>
  <si>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</si>
  <si>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</si>
  <si>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</si>
  <si>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</si>
  <si>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</si>
  <si>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</si>
  <si>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</si>
  <si>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</si>
  <si>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</si>
  <si>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</si>
  <si>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</si>
  <si>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</si>
  <si>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</si>
  <si>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</si>
  <si>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</si>
  <si>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</si>
  <si>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</si>
  <si>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</si>
  <si>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</si>
  <si>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</si>
  <si>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</si>
  <si>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</si>
  <si>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</si>
  <si>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</si>
  <si>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</si>
  <si>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</si>
  <si>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</si>
  <si>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</si>
  <si>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</si>
  <si>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</si>
  <si>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</si>
  <si>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</si>
  <si>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</si>
  <si>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</si>
  <si>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</si>
  <si>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</si>
  <si>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</si>
  <si>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</si>
  <si>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</si>
  <si>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</si>
  <si>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</si>
  <si>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</si>
  <si>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</si>
  <si>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</si>
  <si>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</si>
  <si>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</si>
  <si>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</si>
  <si>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</si>
  <si>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</si>
  <si>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</si>
  <si>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</si>
  <si>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</si>
  <si>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</si>
  <si>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</si>
  <si>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</si>
  <si>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</si>
  <si>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</si>
  <si>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</si>
  <si>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</si>
  <si>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</si>
  <si>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</si>
  <si>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</si>
  <si>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</si>
  <si>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</si>
  <si>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</si>
  <si>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</si>
  <si>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</si>
  <si>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</si>
  <si>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</si>
  <si>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</si>
  <si>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</si>
  <si>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</si>
  <si>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</si>
  <si>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</si>
  <si>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</si>
  <si>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</si>
  <si>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</si>
  <si>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</si>
  <si>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</si>
  <si>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</si>
  <si>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</si>
  <si>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</si>
  <si>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</si>
  <si>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</si>
  <si>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</si>
  <si>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</si>
  <si>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</si>
  <si>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</si>
  <si>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</si>
  <si>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</si>
  <si>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</si>
  <si>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</si>
  <si>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</si>
  <si>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</si>
  <si>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</si>
  <si>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</si>
  <si>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</si>
  <si>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</si>
  <si>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</si>
  <si>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</si>
  <si>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</si>
  <si>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</si>
  <si>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</si>
  <si>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</si>
  <si>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</si>
  <si>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</si>
  <si>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</si>
  <si>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</si>
  <si>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</si>
  <si>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</si>
  <si>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</si>
  <si>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</si>
  <si>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</si>
  <si>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</si>
  <si>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</si>
  <si>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</si>
  <si>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</si>
  <si>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</si>
  <si>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</si>
  <si>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</si>
  <si>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</si>
  <si>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</si>
  <si>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</si>
  <si>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</si>
  <si>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</si>
  <si>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</si>
  <si>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</si>
  <si>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</si>
  <si>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</si>
  <si>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</si>
  <si>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</si>
  <si>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</si>
  <si>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</si>
  <si>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</si>
  <si>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</si>
  <si>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</si>
  <si>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</si>
  <si>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</si>
  <si>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</si>
  <si>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</si>
  <si>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</si>
  <si>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</si>
  <si>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</si>
  <si>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</si>
  <si>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</si>
  <si>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</si>
  <si>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</si>
  <si>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</si>
  <si>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</si>
  <si>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</si>
  <si>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</si>
  <si>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</si>
  <si>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</si>
  <si>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</si>
  <si>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</si>
  <si>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</si>
  <si>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</si>
  <si>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</si>
  <si>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</si>
  <si>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</si>
  <si>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</si>
  <si>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</si>
  <si>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</si>
  <si>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</si>
  <si>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</si>
  <si>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</si>
  <si>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</si>
  <si>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</si>
  <si>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</si>
  <si>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</si>
  <si>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</si>
  <si>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</si>
  <si>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</si>
  <si>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</si>
  <si>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</si>
  <si>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</si>
  <si>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</si>
  <si>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</si>
  <si>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</si>
  <si>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</si>
  <si>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</si>
  <si>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</si>
  <si>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</si>
  <si>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</si>
  <si>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</si>
  <si>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</si>
  <si>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</si>
  <si>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</si>
  <si>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</si>
  <si>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</si>
  <si>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</si>
  <si>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</si>
  <si>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</si>
  <si>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</si>
  <si>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</si>
  <si>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</si>
  <si>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</si>
  <si>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</si>
  <si>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</si>
  <si>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</si>
  <si>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</si>
  <si>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</si>
  <si>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</si>
  <si>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</si>
  <si>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</si>
  <si>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</si>
  <si>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</si>
  <si>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</si>
  <si>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</si>
  <si>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</si>
  <si>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</si>
  <si>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</si>
  <si>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</si>
  <si>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</si>
  <si>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</si>
  <si>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</si>
  <si>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</si>
  <si>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</si>
  <si>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</si>
  <si>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</si>
  <si>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</si>
  <si>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</si>
  <si>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</si>
  <si>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</si>
  <si>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</si>
  <si>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</si>
  <si>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</si>
  <si>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</si>
  <si>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</si>
  <si>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</si>
  <si>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</si>
  <si>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</si>
  <si>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</si>
  <si>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</si>
  <si>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</si>
  <si>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</si>
  <si>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</si>
  <si>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</si>
  <si>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</si>
  <si>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</si>
  <si>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</si>
  <si>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</si>
  <si>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</si>
  <si>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</si>
  <si>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</si>
  <si>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</si>
  <si>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</si>
  <si>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</si>
  <si>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</si>
  <si>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</si>
  <si>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</si>
  <si>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</si>
  <si>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</si>
  <si>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</si>
  <si>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</si>
  <si>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</si>
  <si>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</si>
  <si>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</si>
  <si>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</si>
  <si>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</si>
  <si>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</si>
  <si>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</si>
  <si>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</si>
  <si>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</si>
  <si>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</si>
  <si>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</si>
  <si>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</si>
  <si>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</si>
  <si>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</si>
  <si>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</si>
  <si>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</si>
  <si>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</si>
  <si>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</si>
  <si>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</si>
  <si>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</si>
  <si>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</si>
  <si>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</si>
  <si>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</si>
  <si>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</si>
  <si>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</si>
  <si>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</si>
  <si>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</si>
  <si>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</si>
  <si>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</si>
  <si>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</si>
  <si>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</si>
  <si>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</si>
  <si>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</si>
  <si>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</si>
  <si>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</si>
  <si>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</si>
  <si>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</si>
  <si>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</si>
  <si>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</si>
  <si>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</si>
  <si>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</si>
  <si>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</si>
  <si>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</si>
  <si>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</si>
  <si>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</si>
  <si>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</si>
  <si>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</si>
  <si>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</si>
  <si>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</si>
  <si>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</si>
  <si>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</si>
  <si>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</si>
  <si>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</si>
  <si>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</si>
  <si>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</si>
  <si>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</si>
  <si>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</si>
  <si>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</si>
  <si>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</si>
  <si>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</si>
  <si>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</si>
  <si>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</si>
  <si>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</si>
  <si>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</si>
  <si>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</si>
  <si>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</si>
  <si>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</si>
  <si>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</si>
  <si>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</si>
  <si>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</si>
  <si>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</si>
  <si>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</si>
  <si>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</si>
  <si>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</si>
  <si>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</si>
  <si>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</si>
  <si>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</si>
  <si>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</si>
  <si>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</si>
  <si>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</si>
  <si>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</si>
  <si>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</si>
  <si>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</si>
  <si>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</si>
  <si>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</si>
  <si>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</si>
  <si>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</si>
  <si>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</si>
  <si>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</si>
  <si>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</si>
  <si>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</si>
  <si>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</si>
  <si>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</si>
  <si>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</si>
  <si>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</si>
  <si>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</si>
  <si>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</si>
  <si>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</si>
  <si>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</si>
  <si>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</si>
  <si>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</si>
  <si>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</si>
  <si>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</si>
  <si>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</si>
  <si>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</si>
  <si>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</si>
  <si>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</si>
  <si>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</si>
  <si>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</si>
  <si>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</si>
  <si>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</si>
  <si>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</si>
  <si>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</si>
  <si>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</si>
  <si>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</si>
  <si>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</si>
  <si>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</si>
  <si>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</si>
  <si>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</si>
  <si>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</si>
  <si>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</si>
  <si>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</si>
  <si>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</si>
  <si>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</si>
  <si>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</si>
  <si>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</si>
  <si>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</si>
  <si>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</si>
  <si>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</si>
  <si>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</si>
  <si>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</si>
  <si>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</si>
  <si>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</si>
  <si>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</si>
  <si>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</si>
  <si>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</si>
  <si>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</si>
  <si>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</si>
  <si>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</si>
  <si>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</si>
  <si>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</si>
  <si>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</si>
  <si>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</si>
  <si>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</si>
  <si>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</si>
  <si>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</si>
  <si>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</si>
  <si>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</si>
  <si>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</si>
  <si>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</si>
  <si>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</si>
  <si>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</si>
  <si>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</si>
  <si>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</si>
  <si>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</si>
  <si>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</si>
  <si>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</si>
  <si>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</si>
  <si>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</si>
  <si>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</si>
  <si>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</si>
  <si>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</si>
  <si>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</si>
  <si>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</si>
  <si>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</si>
  <si>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</si>
  <si>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</si>
  <si>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</si>
  <si>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</si>
  <si>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</si>
  <si>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</si>
  <si>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</si>
  <si>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</si>
  <si>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</si>
  <si>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</si>
  <si>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</si>
  <si>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</si>
  <si>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</si>
  <si>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</si>
  <si>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</si>
  <si>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</si>
  <si>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</si>
  <si>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</si>
  <si>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</si>
  <si>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</si>
  <si>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</si>
  <si>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</si>
  <si>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</si>
  <si>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</si>
  <si>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</si>
  <si>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</si>
  <si>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</si>
  <si>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</si>
  <si>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</si>
  <si>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</si>
  <si>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</si>
  <si>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</si>
  <si>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</si>
  <si>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</si>
  <si>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</si>
  <si>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</si>
  <si>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</si>
  <si>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</si>
  <si>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</si>
  <si>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</si>
  <si>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</si>
  <si>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</si>
  <si>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</si>
  <si>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</si>
  <si>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</si>
  <si>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</si>
  <si>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</si>
  <si>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</si>
  <si>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</si>
  <si>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</si>
  <si>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</si>
  <si>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</si>
  <si>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</si>
  <si>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</si>
  <si>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</si>
  <si>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</si>
  <si>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</si>
  <si>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</si>
  <si>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</si>
  <si>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</si>
  <si>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</si>
  <si>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</si>
  <si>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</si>
  <si>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</si>
  <si>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</si>
  <si>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</si>
  <si>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</si>
  <si>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</si>
  <si>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</si>
  <si>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</si>
  <si>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</si>
  <si>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</si>
  <si>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</si>
  <si>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</si>
  <si>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</si>
  <si>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</si>
  <si>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</si>
  <si>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</si>
  <si>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</si>
  <si>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</si>
  <si>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</si>
  <si>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</si>
  <si>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</si>
  <si>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</si>
  <si>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</si>
  <si>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</si>
  <si>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</si>
  <si>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</si>
  <si>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</si>
  <si>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</si>
  <si>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</si>
  <si>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</si>
  <si>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</si>
  <si>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</si>
  <si>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</si>
  <si>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</si>
  <si>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</si>
  <si>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</si>
  <si>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</si>
  <si>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</si>
  <si>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</si>
  <si>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</si>
  <si>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</si>
  <si>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</si>
  <si>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ABATESCO</t>
  </si>
  <si>
    <t xml:space="preserve">Serra di Fium'Orbo</t>
  </si>
  <si>
    <t xml:space="preserve">06222100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</si>
  <si>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</si>
  <si>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</si>
  <si>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</si>
  <si>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</si>
  <si>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</si>
  <si>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</si>
  <si>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</si>
  <si>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</si>
  <si>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</si>
  <si>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</si>
  <si>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</si>
  <si>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</si>
  <si>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</si>
  <si>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</si>
  <si>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</si>
  <si>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</si>
  <si>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</si>
  <si>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</si>
  <si>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</si>
  <si>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</si>
  <si>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</si>
  <si>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</si>
  <si>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</si>
  <si>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</si>
  <si>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</si>
  <si>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</si>
  <si>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</si>
  <si>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</si>
  <si>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</si>
  <si>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</si>
  <si>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</si>
  <si>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</si>
  <si>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</si>
  <si>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</si>
  <si>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</si>
  <si>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</si>
  <si>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</si>
  <si>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</si>
  <si>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</si>
  <si>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</si>
  <si>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</si>
  <si>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</si>
  <si>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</si>
  <si>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</si>
  <si>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</si>
  <si>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</si>
  <si>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</si>
  <si>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</si>
  <si>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</si>
  <si>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</si>
  <si>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(6,67595 %)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</si>
  <si>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</si>
  <si>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</si>
  <si>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</si>
  <si>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</si>
  <si>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</si>
  <si>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</si>
  <si>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</si>
  <si>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</si>
  <si>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</si>
  <si>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</si>
  <si>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</si>
  <si>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</si>
  <si>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</si>
  <si>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</si>
  <si>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</si>
  <si>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</si>
  <si>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</si>
  <si>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</si>
  <si>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</si>
  <si>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possibilité hybridation (fleurs petites)</t>
  </si>
  <si>
    <t xml:space="preserve">NEWCOD</t>
  </si>
  <si>
    <t xml:space="preserve">Paspalum distichum</t>
  </si>
  <si>
    <t xml:space="preserve">Leptolyngbya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</si>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</sst>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64" fontId="89" fillId="0" borderId="0" xfId="0" applyFont="true" applyBorder="true" applyAlignment="true" applyProtection="true">
      <alignment horizontal="center" vertical="center"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433440</xdr:colOff>
      <xdr:row>62</xdr:row>
      <xdr:rowOff>56880</xdr:rowOff>
    </xdr:from>
    <xdr:to>
      <xdr:col>23</xdr:col>
      <xdr:colOff>313200</xdr:colOff>
      <xdr:row>63</xdr:row>
      <xdr:rowOff>142920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11.5178571428571</v>
      </c>
      <c r="M5" s="323"/>
      <c r="N5" s="324" t="s">
        <v>1708</v>
      </c>
      <c r="O5" s="325" t="n">
        <v>11.6037735849057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45</v>
      </c>
      <c r="C7" s="337" t="n">
        <v>55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7.825</v>
      </c>
      <c r="O8" s="354" t="n">
        <f aca="false">IF(ISERROR(AVERAGE(J23:J82)),"      -",AVERAGE(J23:J82))</f>
        <v>1.15</v>
      </c>
      <c r="P8" s="355"/>
      <c r="Q8" s="280"/>
      <c r="R8" s="280"/>
      <c r="S8" s="280"/>
      <c r="T8" s="280"/>
      <c r="U8" s="280"/>
      <c r="V8" s="280"/>
      <c r="W8" s="292"/>
      <c r="X8" s="293"/>
    </row>
    <row r="9" customFormat="false" ht="13.5" hidden="false" customHeight="false" outlineLevel="0" collapsed="false">
      <c r="A9" s="313" t="s">
        <v>2635</v>
      </c>
      <c r="B9" s="356" t="n">
        <v>9.4</v>
      </c>
      <c r="C9" s="357" t="n">
        <v>4.4</v>
      </c>
      <c r="D9" s="358"/>
      <c r="E9" s="358"/>
      <c r="F9" s="359" t="n">
        <f aca="false">($B9*$B$7+$C9*$C$7)/100</f>
        <v>6.65</v>
      </c>
      <c r="G9" s="360"/>
      <c r="H9" s="361"/>
      <c r="I9" s="362"/>
      <c r="J9" s="363"/>
      <c r="K9" s="343"/>
      <c r="L9" s="364"/>
      <c r="M9" s="353" t="s">
        <v>2636</v>
      </c>
      <c r="N9" s="354" t="n">
        <f aca="false">IF(ISERROR(STDEVP(I23:I82)),"     -",STDEVP(I23:I82))</f>
        <v>5.7310012214272</v>
      </c>
      <c r="O9" s="354" t="n">
        <f aca="false">IF(ISERROR(STDEVP(J23:J82)),"      -",STDEVP(J23:J82))</f>
        <v>0.93674969975976</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15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42</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40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21</v>
      </c>
      <c r="L15" s="386"/>
      <c r="M15" s="407" t="s">
        <v>2654</v>
      </c>
      <c r="N15" s="408" t="n">
        <f aca="false">COUNTIF(J23:J82,"=1")</f>
        <v>13</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12</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3</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9.421</v>
      </c>
      <c r="C20" s="436" t="n">
        <f aca="false">SUM(C23:C82)</f>
        <v>4.43</v>
      </c>
      <c r="D20" s="437"/>
      <c r="E20" s="438" t="s">
        <v>2660</v>
      </c>
      <c r="F20" s="439" t="n">
        <f aca="false">($B20*$B$7+$C20*$C$7)/100</f>
        <v>6.67595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4.23945</v>
      </c>
      <c r="C21" s="449" t="n">
        <f aca="false">C20*C7/100</f>
        <v>2.4365</v>
      </c>
      <c r="D21" s="381" t="str">
        <f aca="false">IF(F21=0,"",IF((ABS(F21-F19))&gt;(0.2*F21),CONCATENATE(" rec. par taxa (",F21," %) supérieur à 20 % !"),""))</f>
        <v> rec. par taxa (6,67595 %) supérieur à 20 % !</v>
      </c>
      <c r="E21" s="450" t="str">
        <f aca="false">IF(F21=0,"",IF((ABS(F21-F19))&gt;(0.2*F21),CONCATENATE("ATTENTION : écart entre rec. par grp (",F19," %) ","et",""),""))</f>
        <v>ATTENTION : écart entre rec. par grp (0 %) et</v>
      </c>
      <c r="F21" s="451" t="n">
        <f aca="false">B21+C21</f>
        <v>6.67595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0.00225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0.00225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69</v>
      </c>
      <c r="B24" s="494" t="n">
        <v>0.02</v>
      </c>
      <c r="C24" s="495" t="n">
        <v>0.03</v>
      </c>
      <c r="D24" s="477" t="str">
        <f aca="false">IF(ISERROR(VLOOKUP($A24,'liste reference'!$A$7:$D$904,2,0)),IF(ISERROR(VLOOKUP($A24,'liste reference'!$B$7:$D$904,1,0)),"",VLOOKUP($A24,'liste reference'!$B$7:$D$904,1,0)),VLOOKUP($A24,'liste reference'!$A$7:$D$904,2,0))</f>
        <v>Batrachospermum sp.</v>
      </c>
      <c r="E24" s="496" t="e">
        <f aca="false">IF(D24="",0,VLOOKUP(D24,D$22:D23,1,0))</f>
        <v>#N/A</v>
      </c>
      <c r="F24" s="497" t="n">
        <f aca="false">($B24*$B$7+$C24*$C$7)/100</f>
        <v>0.0255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1155</v>
      </c>
      <c r="Q24" s="486" t="n">
        <f aca="false">IF(ISTEXT(H24),"",(B24*$B$7/100)+(C24*$C$7/100))</f>
        <v>0.0255</v>
      </c>
      <c r="R24" s="487" t="n">
        <f aca="false">IF(OR(ISTEXT(H24),Q24=0),"",IF(Q24&lt;0.1,1,IF(Q24&lt;1,2,IF(Q24&lt;10,3,IF(Q24&lt;50,4,IF(Q24&gt;=50,5,""))))))</f>
        <v>1</v>
      </c>
      <c r="S24" s="487" t="n">
        <f aca="false">IF(ISERROR(R24*I24),0,R24*I24)</f>
        <v>16</v>
      </c>
      <c r="T24" s="487" t="n">
        <f aca="false">IF(ISERROR(R24*I24*J24),0,R24*I24*J24)</f>
        <v>32</v>
      </c>
      <c r="U24" s="499" t="n">
        <f aca="false">IF(ISERROR(R24*J24),0,R24*J24)</f>
        <v>2</v>
      </c>
      <c r="V24" s="488" t="str">
        <f aca="false">IF(AND(A24="",F24=0),"",IF(F24=0,"Il manque le(s) % de rec. !",""))</f>
        <v/>
      </c>
      <c r="W24" s="489"/>
      <c r="Y24" s="490" t="str">
        <f aca="false">IF(A24="new.cod","NEWCOD",IF(AND((Z24=""),ISTEXT(A24)),A24,IF(Z24="","",INDEX('liste reference'!$A$8:$A$904,Z24))))</f>
        <v>BATSPX</v>
      </c>
      <c r="Z24" s="280" t="n">
        <f aca="false">IF(ISERROR(MATCH(A24,'liste reference'!$A$8:$A$904,0)),IF(ISERROR(MATCH(A24,'liste reference'!$B$8:$B$904,0)),"",(MATCH(A24,'liste reference'!$B$8:$B$904,0))),(MATCH(A24,'liste reference'!$A$8:$A$904,0)))</f>
        <v>7</v>
      </c>
      <c r="AA24" s="491"/>
      <c r="AB24" s="492"/>
      <c r="AC24" s="492"/>
      <c r="BB24" s="280" t="n">
        <f aca="false">IF(A24="","",1)</f>
        <v>1</v>
      </c>
    </row>
    <row r="25" customFormat="false" ht="12.75" hidden="false" customHeight="false" outlineLevel="0" collapsed="false">
      <c r="A25" s="493" t="s">
        <v>132</v>
      </c>
      <c r="B25" s="494"/>
      <c r="C25" s="495" t="n">
        <v>0.01</v>
      </c>
      <c r="D25" s="477" t="str">
        <f aca="false">IF(ISERROR(VLOOKUP($A25,'liste reference'!$A$7:$D$904,2,0)),IF(ISERROR(VLOOKUP($A25,'liste reference'!$B$7:$D$904,1,0)),"",VLOOKUP($A25,'liste reference'!$B$7:$D$904,1,0)),VLOOKUP($A25,'liste reference'!$A$7:$D$904,2,0))</f>
        <v>Draparnaldia sp.</v>
      </c>
      <c r="E25" s="496" t="e">
        <f aca="false">IF(D25="",0,VLOOKUP(D25,D$22:D24,1,0))</f>
        <v>#N/A</v>
      </c>
      <c r="F25" s="497" t="n">
        <f aca="false">($B25*$B$7+$C25*$C$7)/100</f>
        <v>0.0055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18</v>
      </c>
      <c r="J25" s="481" t="n">
        <f aca="false">IF(ISNUMBER(H25),IF(ISERROR(VLOOKUP($A25,'liste reference'!$A$7:$P$904,4,0)),IF(ISERROR(VLOOKUP($A25,'liste reference'!$B$7:$P$904,3,0)),"",VLOOKUP($A25,'liste reference'!$B$7:$P$904,3,0)),VLOOKUP($A25,'liste reference'!$A$7:$P$904,4,0)),"")</f>
        <v>3</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Draparnaldia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1118</v>
      </c>
      <c r="Q25" s="486" t="n">
        <f aca="false">IF(ISTEXT(H25),"",(B25*$B$7/100)+(C25*$C$7/100))</f>
        <v>0.0055</v>
      </c>
      <c r="R25" s="487" t="n">
        <f aca="false">IF(OR(ISTEXT(H25),Q25=0),"",IF(Q25&lt;0.1,1,IF(Q25&lt;1,2,IF(Q25&lt;10,3,IF(Q25&lt;50,4,IF(Q25&gt;=50,5,""))))))</f>
        <v>1</v>
      </c>
      <c r="S25" s="487" t="n">
        <f aca="false">IF(ISERROR(R25*I25),0,R25*I25)</f>
        <v>18</v>
      </c>
      <c r="T25" s="487" t="n">
        <f aca="false">IF(ISERROR(R25*I25*J25),0,R25*I25*J25)</f>
        <v>54</v>
      </c>
      <c r="U25" s="499" t="n">
        <f aca="false">IF(ISERROR(R25*J25),0,R25*J25)</f>
        <v>3</v>
      </c>
      <c r="V25" s="488" t="str">
        <f aca="false">IF(AND(A25="",F25=0),"",IF(F25=0,"Il manque le(s) % de rec. !",""))</f>
        <v/>
      </c>
      <c r="W25" s="489"/>
      <c r="Y25" s="490" t="str">
        <f aca="false">IF(A25="new.cod","NEWCOD",IF(AND((Z25=""),ISTEXT(A25)),A25,IF(Z25="","",INDEX('liste reference'!$A$8:$A$904,Z25))))</f>
        <v>DRASPX</v>
      </c>
      <c r="Z25" s="280" t="n">
        <f aca="false">IF(ISERROR(MATCH(A25,'liste reference'!$A$8:$A$904,0)),IF(ISERROR(MATCH(A25,'liste reference'!$B$8:$B$904,0)),"",(MATCH(A25,'liste reference'!$B$8:$B$904,0))),(MATCH(A25,'liste reference'!$A$8:$A$904,0)))</f>
        <v>27</v>
      </c>
      <c r="AA25" s="491"/>
      <c r="AB25" s="492"/>
      <c r="AC25" s="492"/>
      <c r="BB25" s="280" t="n">
        <f aca="false">IF(A25="","",1)</f>
        <v>1</v>
      </c>
    </row>
    <row r="26" customFormat="false" ht="12.75" hidden="false" customHeight="false" outlineLevel="0" collapsed="false">
      <c r="A26" s="493" t="s">
        <v>142</v>
      </c>
      <c r="B26" s="494" t="n">
        <v>0.01</v>
      </c>
      <c r="C26" s="495"/>
      <c r="D26" s="477" t="str">
        <f aca="false">IF(ISERROR(VLOOKUP($A26,'liste reference'!$A$7:$D$904,2,0)),IF(ISERROR(VLOOKUP($A26,'liste reference'!$B$7:$D$904,1,0)),"",VLOOKUP($A26,'liste reference'!$B$7:$D$904,1,0)),VLOOKUP($A26,'liste reference'!$A$7:$D$904,2,0))</f>
        <v>Hildenbrandia sp.</v>
      </c>
      <c r="E26" s="496" t="e">
        <f aca="false">IF(D26="",0,VLOOKUP(D26,D$22:D25,1,0))</f>
        <v>#N/A</v>
      </c>
      <c r="F26" s="497" t="n">
        <f aca="false">($B26*$B$7+$C26*$C$7)/100</f>
        <v>0.0045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1157</v>
      </c>
      <c r="Q26" s="486" t="n">
        <f aca="false">IF(ISTEXT(H26),"",(B26*$B$7/100)+(C26*$C$7/100))</f>
        <v>0.0045</v>
      </c>
      <c r="R26" s="487" t="n">
        <f aca="false">IF(OR(ISTEXT(H26),Q26=0),"",IF(Q26&lt;0.1,1,IF(Q26&lt;1,2,IF(Q26&lt;10,3,IF(Q26&lt;50,4,IF(Q26&gt;=50,5,""))))))</f>
        <v>1</v>
      </c>
      <c r="S26" s="487" t="n">
        <f aca="false">IF(ISERROR(R26*I26),0,R26*I26)</f>
        <v>15</v>
      </c>
      <c r="T26" s="487" t="n">
        <f aca="false">IF(ISERROR(R26*I26*J26),0,R26*I26*J26)</f>
        <v>30</v>
      </c>
      <c r="U26" s="499" t="n">
        <f aca="false">IF(ISERROR(R26*J26),0,R26*J26)</f>
        <v>2</v>
      </c>
      <c r="V26" s="488" t="str">
        <f aca="false">IF(AND(A26="",F26=0),"",IF(F26=0,"Il manque le(s) % de rec. !",""))</f>
        <v/>
      </c>
      <c r="W26" s="489"/>
      <c r="Y26" s="490" t="str">
        <f aca="false">IF(A26="new.cod","NEWCOD",IF(AND((Z26=""),ISTEXT(A26)),A26,IF(Z26="","",INDEX('liste reference'!$A$8:$A$904,Z26))))</f>
        <v>HILSPX</v>
      </c>
      <c r="Z26" s="280" t="n">
        <f aca="false">IF(ISERROR(MATCH(A26,'liste reference'!$A$8:$A$904,0)),IF(ISERROR(MATCH(A26,'liste reference'!$B$8:$B$904,0)),"",(MATCH(A26,'liste reference'!$B$8:$B$904,0))),(MATCH(A26,'liste reference'!$A$8:$A$904,0)))</f>
        <v>30</v>
      </c>
      <c r="AA26" s="491"/>
      <c r="AB26" s="492"/>
      <c r="AC26" s="492"/>
      <c r="BB26" s="280" t="n">
        <f aca="false">IF(A26="","",1)</f>
        <v>1</v>
      </c>
    </row>
    <row r="27" customFormat="false" ht="12.75" hidden="false" customHeight="false" outlineLevel="0" collapsed="false">
      <c r="A27" s="493" t="s">
        <v>154</v>
      </c>
      <c r="B27" s="494" t="n">
        <v>0.005</v>
      </c>
      <c r="C27" s="495"/>
      <c r="D27" s="477" t="str">
        <f aca="false">IF(ISERROR(VLOOKUP($A27,'liste reference'!$A$7:$D$904,2,0)),IF(ISERROR(VLOOKUP($A27,'liste reference'!$B$7:$D$904,1,0)),"",VLOOKUP($A27,'liste reference'!$B$7:$D$904,1,0)),VLOOKUP($A27,'liste reference'!$A$7:$D$904,2,0))</f>
        <v>Lemanea sp.</v>
      </c>
      <c r="E27" s="496" t="e">
        <f aca="false">IF(D27="",0,VLOOKUP(D27,D$22:D26,1,0))</f>
        <v>#N/A</v>
      </c>
      <c r="F27" s="497" t="n">
        <f aca="false">($B27*$B$7+$C27*$C$7)/100</f>
        <v>0.00225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Lemanea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1159</v>
      </c>
      <c r="Q27" s="486" t="n">
        <f aca="false">IF(ISTEXT(H27),"",(B27*$B$7/100)+(C27*$C$7/100))</f>
        <v>0.00225</v>
      </c>
      <c r="R27" s="487" t="n">
        <f aca="false">IF(OR(ISTEXT(H27),Q27=0),"",IF(Q27&lt;0.1,1,IF(Q27&lt;1,2,IF(Q27&lt;10,3,IF(Q27&lt;50,4,IF(Q27&gt;=50,5,""))))))</f>
        <v>1</v>
      </c>
      <c r="S27" s="487" t="n">
        <f aca="false">IF(ISERROR(R27*I27),0,R27*I27)</f>
        <v>15</v>
      </c>
      <c r="T27" s="487" t="n">
        <f aca="false">IF(ISERROR(R27*I27*J27),0,R27*I27*J27)</f>
        <v>30</v>
      </c>
      <c r="U27" s="499" t="n">
        <f aca="false">IF(ISERROR(R27*J27),0,R27*J27)</f>
        <v>2</v>
      </c>
      <c r="V27" s="488" t="str">
        <f aca="false">IF(AND(A27="",F27=0),"",IF(F27=0,"Il manque le(s) % de rec. !",""))</f>
        <v/>
      </c>
      <c r="W27" s="489"/>
      <c r="Y27" s="490" t="str">
        <f aca="false">IF(A27="new.cod","NEWCOD",IF(AND((Z27=""),ISTEXT(A27)),A27,IF(Z27="","",INDEX('liste reference'!$A$8:$A$904,Z27))))</f>
        <v>LEASPX</v>
      </c>
      <c r="Z27" s="280" t="n">
        <f aca="false">IF(ISERROR(MATCH(A27,'liste reference'!$A$8:$A$904,0)),IF(ISERROR(MATCH(A27,'liste reference'!$B$8:$B$904,0)),"",(MATCH(A27,'liste reference'!$B$8:$B$904,0))),(MATCH(A27,'liste reference'!$A$8:$A$904,0)))</f>
        <v>34</v>
      </c>
      <c r="AA27" s="491"/>
      <c r="AB27" s="492"/>
      <c r="AC27" s="492"/>
      <c r="BB27" s="280" t="n">
        <f aca="false">IF(A27="","",1)</f>
        <v>1</v>
      </c>
    </row>
    <row r="28" customFormat="false" ht="12.75" hidden="false" customHeight="false" outlineLevel="0" collapsed="false">
      <c r="A28" s="493" t="s">
        <v>160</v>
      </c>
      <c r="B28" s="494"/>
      <c r="C28" s="495" t="n">
        <v>1</v>
      </c>
      <c r="D28" s="477" t="str">
        <f aca="false">IF(ISERROR(VLOOKUP($A28,'liste reference'!$A$7:$D$904,2,0)),IF(ISERROR(VLOOKUP($A28,'liste reference'!$B$7:$D$904,1,0)),"",VLOOKUP($A28,'liste reference'!$B$7:$D$904,1,0)),VLOOKUP($A28,'liste reference'!$A$7:$D$904,2,0))</f>
        <v>Melosira sp.</v>
      </c>
      <c r="E28" s="496" t="e">
        <f aca="false">IF(D28="",0,VLOOKUP(D28,D$22:D27,1,0))</f>
        <v>#N/A</v>
      </c>
      <c r="F28" s="497" t="n">
        <f aca="false">($B28*$B$7+$C28*$C$7)/100</f>
        <v>0.55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Melosira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8714</v>
      </c>
      <c r="Q28" s="486" t="n">
        <f aca="false">IF(ISTEXT(H28),"",(B28*$B$7/100)+(C28*$C$7/100))</f>
        <v>0.55</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MELSPX</v>
      </c>
      <c r="Z28" s="280" t="n">
        <f aca="false">IF(ISERROR(MATCH(A28,'liste reference'!$A$8:$A$904,0)),IF(ISERROR(MATCH(A28,'liste reference'!$B$8:$B$904,0)),"",(MATCH(A28,'liste reference'!$B$8:$B$904,0))),(MATCH(A28,'liste reference'!$A$8:$A$904,0)))</f>
        <v>36</v>
      </c>
      <c r="AA28" s="491"/>
      <c r="AB28" s="492"/>
      <c r="AC28" s="492"/>
      <c r="BB28" s="280" t="n">
        <f aca="false">IF(A28="","",1)</f>
        <v>1</v>
      </c>
    </row>
    <row r="29" customFormat="false" ht="12.75" hidden="false" customHeight="false" outlineLevel="0" collapsed="false">
      <c r="A29" s="493" t="s">
        <v>199</v>
      </c>
      <c r="B29" s="494" t="n">
        <v>0.03</v>
      </c>
      <c r="C29" s="495"/>
      <c r="D29" s="477" t="str">
        <f aca="false">IF(ISERROR(VLOOKUP($A29,'liste reference'!$A$7:$D$904,2,0)),IF(ISERROR(VLOOKUP($A29,'liste reference'!$B$7:$D$904,1,0)),"",VLOOKUP($A29,'liste reference'!$B$7:$D$904,1,0)),VLOOKUP($A29,'liste reference'!$A$7:$D$904,2,0))</f>
        <v>Nitella opaca</v>
      </c>
      <c r="E29" s="496" t="e">
        <f aca="false">IF(D29="",0,VLOOKUP(D29,D$22:D22,1,0))</f>
        <v>#N/A</v>
      </c>
      <c r="F29" s="497" t="n">
        <f aca="false">($B29*$B$7+$C29*$C$7)/100</f>
        <v>0.0135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Nitella opaca</v>
      </c>
      <c r="L29" s="498"/>
      <c r="M29" s="498"/>
      <c r="N29" s="498"/>
      <c r="O29" s="484" t="s">
        <v>2685</v>
      </c>
      <c r="P29" s="485" t="n">
        <f aca="false">IF($A29="NEWCOD",IF($AC29="","No",$AC29),IF(ISTEXT($E29),"DEJA SAISI !",IF($A29="","",IF(ISERROR(VLOOKUP($A29,'liste reference'!A:S,19,FALSE())),IF(ISERROR(VLOOKUP($A29,'liste reference'!B:S,19,FALSE())),"",VLOOKUP($A29,'liste reference'!B:S,19,FALSE())),VLOOKUP($A29,'liste reference'!A:S,19,FALSE())))))</f>
        <v>5267</v>
      </c>
      <c r="Q29" s="486" t="n">
        <f aca="false">IF(ISTEXT(H29),"",(B29*$B$7/100)+(C29*$C$7/100))</f>
        <v>0.0135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NITOPA</v>
      </c>
      <c r="Z29" s="280" t="n">
        <f aca="false">IF(ISERROR(MATCH(A29,'liste reference'!$A$8:$A$904,0)),IF(ISERROR(MATCH(A29,'liste reference'!$B$8:$B$904,0)),"",(MATCH(A29,'liste reference'!$B$8:$B$904,0))),(MATCH(A29,'liste reference'!$A$8:$A$904,0)))</f>
        <v>48</v>
      </c>
      <c r="AA29" s="491" t="s">
        <v>2685</v>
      </c>
      <c r="AB29" s="492"/>
      <c r="AC29" s="492"/>
      <c r="BB29" s="280" t="n">
        <f aca="false">IF(A29="","",1)</f>
        <v>1</v>
      </c>
    </row>
    <row r="30" customFormat="false" ht="12.75" hidden="false" customHeight="false" outlineLevel="0" collapsed="false">
      <c r="A30" s="493" t="s">
        <v>223</v>
      </c>
      <c r="B30" s="494" t="n">
        <v>0.1</v>
      </c>
      <c r="C30" s="495" t="n">
        <v>0.005</v>
      </c>
      <c r="D30" s="477" t="str">
        <f aca="false">IF(ISERROR(VLOOKUP($A30,'liste reference'!$A$7:$D$904,2,0)),IF(ISERROR(VLOOKUP($A30,'liste reference'!$B$7:$D$904,1,0)),"",VLOOKUP($A30,'liste reference'!$B$7:$D$904,1,0)),VLOOKUP($A30,'liste reference'!$A$7:$D$904,2,0))</f>
        <v>Oedogonium sp.</v>
      </c>
      <c r="E30" s="496" t="e">
        <f aca="false">IF(D30="",0,VLOOKUP(D30,D$22:D29,1,0))</f>
        <v>#N/A</v>
      </c>
      <c r="F30" s="497" t="n">
        <f aca="false">($B30*$B$7+$C30*$C$7)/100</f>
        <v>0.04775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6</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Oedogonium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1134</v>
      </c>
      <c r="Q30" s="486" t="n">
        <f aca="false">IF(ISTEXT(H30),"",(B30*$B$7/100)+(C30*$C$7/100))</f>
        <v>0.04775</v>
      </c>
      <c r="R30" s="487" t="n">
        <f aca="false">IF(OR(ISTEXT(H30),Q30=0),"",IF(Q30&lt;0.1,1,IF(Q30&lt;1,2,IF(Q30&lt;10,3,IF(Q30&lt;50,4,IF(Q30&gt;=50,5,""))))))</f>
        <v>1</v>
      </c>
      <c r="S30" s="487" t="n">
        <f aca="false">IF(ISERROR(R30*I30),0,R30*I30)</f>
        <v>6</v>
      </c>
      <c r="T30" s="487" t="n">
        <f aca="false">IF(ISERROR(R30*I30*J30),0,R30*I30*J30)</f>
        <v>12</v>
      </c>
      <c r="U30" s="499" t="n">
        <f aca="false">IF(ISERROR(R30*J30),0,R30*J30)</f>
        <v>2</v>
      </c>
      <c r="V30" s="488" t="str">
        <f aca="false">IF(AND(A30="",F30=0),"",IF(F30=0,"Il manque le(s) % de rec. !",""))</f>
        <v/>
      </c>
      <c r="W30" s="489"/>
      <c r="Y30" s="490" t="str">
        <f aca="false">IF(A30="new.cod","NEWCOD",IF(AND((Z30=""),ISTEXT(A30)),A30,IF(Z30="","",INDEX('liste reference'!$A$8:$A$904,Z30))))</f>
        <v>OEDSPX</v>
      </c>
      <c r="Z30" s="280" t="n">
        <f aca="false">IF(ISERROR(MATCH(A30,'liste reference'!$A$8:$A$904,0)),IF(ISERROR(MATCH(A30,'liste reference'!$B$8:$B$904,0)),"",(MATCH(A30,'liste reference'!$B$8:$B$904,0))),(MATCH(A30,'liste reference'!$A$8:$A$904,0)))</f>
        <v>55</v>
      </c>
      <c r="AA30" s="491"/>
      <c r="AB30" s="492"/>
      <c r="AC30" s="492"/>
      <c r="BB30" s="280" t="n">
        <f aca="false">IF(A30="","",1)</f>
        <v>1</v>
      </c>
    </row>
    <row r="31" customFormat="false" ht="12.75" hidden="false" customHeight="false" outlineLevel="0" collapsed="false">
      <c r="A31" s="493" t="s">
        <v>228</v>
      </c>
      <c r="B31" s="494" t="n">
        <v>0.01</v>
      </c>
      <c r="C31" s="495"/>
      <c r="D31" s="477" t="str">
        <f aca="false">IF(ISERROR(VLOOKUP($A31,'liste reference'!$A$7:$D$904,2,0)),IF(ISERROR(VLOOKUP($A31,'liste reference'!$B$7:$D$904,1,0)),"",VLOOKUP($A31,'liste reference'!$B$7:$D$904,1,0)),VLOOKUP($A31,'liste reference'!$A$7:$D$904,2,0))</f>
        <v>Phormidium sp.</v>
      </c>
      <c r="E31" s="496" t="e">
        <f aca="false">IF(D31="",0,VLOOKUP(D31,D$22:D30,1,0))</f>
        <v>#N/A</v>
      </c>
      <c r="F31" s="497" t="n">
        <f aca="false">($B31*$B$7+$C31*$C$7)/100</f>
        <v>0.0045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Phormidium sp.</v>
      </c>
      <c r="L31" s="498"/>
      <c r="M31" s="498"/>
      <c r="N31" s="498"/>
      <c r="O31" s="484" t="s">
        <v>2685</v>
      </c>
      <c r="P31" s="485" t="n">
        <f aca="false">IF($A31="NEWCOD",IF($AC31="","No",$AC31),IF(ISTEXT($E31),"DEJA SAISI !",IF($A31="","",IF(ISERROR(VLOOKUP($A31,'liste reference'!A:S,19,FALSE())),IF(ISERROR(VLOOKUP($A31,'liste reference'!B:S,19,FALSE())),"",VLOOKUP($A31,'liste reference'!B:S,19,FALSE())),VLOOKUP($A31,'liste reference'!A:S,19,FALSE())))))</f>
        <v>6414</v>
      </c>
      <c r="Q31" s="486" t="n">
        <f aca="false">IF(ISTEXT(H31),"",(B31*$B$7/100)+(C31*$C$7/100))</f>
        <v>0.0045</v>
      </c>
      <c r="R31" s="487" t="n">
        <f aca="false">IF(OR(ISTEXT(H31),Q31=0),"",IF(Q31&lt;0.1,1,IF(Q31&lt;1,2,IF(Q31&lt;10,3,IF(Q31&lt;50,4,IF(Q31&gt;=50,5,""))))))</f>
        <v>1</v>
      </c>
      <c r="S31" s="487" t="n">
        <f aca="false">IF(ISERROR(R31*I31),0,R31*I31)</f>
        <v>13</v>
      </c>
      <c r="T31" s="487" t="n">
        <f aca="false">IF(ISERROR(R31*I31*J31),0,R31*I31*J31)</f>
        <v>26</v>
      </c>
      <c r="U31" s="499" t="n">
        <f aca="false">IF(ISERROR(R31*J31),0,R31*J31)</f>
        <v>2</v>
      </c>
      <c r="V31" s="488" t="str">
        <f aca="false">IF(AND(A31="",F31=0),"",IF(F31=0,"Il manque le(s) % de rec. !",""))</f>
        <v/>
      </c>
      <c r="W31" s="489"/>
      <c r="Y31" s="490" t="str">
        <f aca="false">IF(A31="new.cod","NEWCOD",IF(AND((Z31=""),ISTEXT(A31)),A31,IF(Z31="","",INDEX('liste reference'!$A$8:$A$904,Z31))))</f>
        <v>PHOSPX</v>
      </c>
      <c r="Z31" s="280" t="n">
        <f aca="false">IF(ISERROR(MATCH(A31,'liste reference'!$A$8:$A$904,0)),IF(ISERROR(MATCH(A31,'liste reference'!$B$8:$B$904,0)),"",(MATCH(A31,'liste reference'!$B$8:$B$904,0))),(MATCH(A31,'liste reference'!$A$8:$A$904,0)))</f>
        <v>57</v>
      </c>
      <c r="AA31" s="491" t="s">
        <v>2685</v>
      </c>
      <c r="AB31" s="492"/>
      <c r="AC31" s="492"/>
      <c r="BB31" s="280" t="n">
        <f aca="false">IF(A31="","",1)</f>
        <v>1</v>
      </c>
    </row>
    <row r="32" customFormat="false" ht="12.75" hidden="false" customHeight="false" outlineLevel="0" collapsed="false">
      <c r="A32" s="493" t="s">
        <v>248</v>
      </c>
      <c r="B32" s="494" t="n">
        <v>0.005</v>
      </c>
      <c r="C32" s="495"/>
      <c r="D32" s="477" t="str">
        <f aca="false">IF(ISERROR(VLOOKUP($A32,'liste reference'!$A$7:$D$904,2,0)),IF(ISERROR(VLOOKUP($A32,'liste reference'!$B$7:$D$904,1,0)),"",VLOOKUP($A32,'liste reference'!$B$7:$D$904,1,0)),VLOOKUP($A32,'liste reference'!$A$7:$D$904,2,0))</f>
        <v>Schizothrix sp.</v>
      </c>
      <c r="E32" s="496" t="e">
        <f aca="false">IF(D32="",0,VLOOKUP(D32,D$22:D31,1,0))</f>
        <v>#N/A</v>
      </c>
      <c r="F32" s="497" t="n">
        <f aca="false">($B32*$B$7+$C32*$C$7)/100</f>
        <v>0.00225</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Schizothrix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6436</v>
      </c>
      <c r="Q32" s="486" t="n">
        <f aca="false">IF(ISTEXT(H32),"",(B32*$B$7/100)+(C32*$C$7/100))</f>
        <v>0.00225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SCZSPX</v>
      </c>
      <c r="Z32" s="280" t="n">
        <f aca="false">IF(ISERROR(MATCH(A32,'liste reference'!$A$8:$A$904,0)),IF(ISERROR(MATCH(A32,'liste reference'!$B$8:$B$904,0)),"",(MATCH(A32,'liste reference'!$B$8:$B$904,0))),(MATCH(A32,'liste reference'!$A$8:$A$904,0)))</f>
        <v>65</v>
      </c>
      <c r="AA32" s="491"/>
      <c r="AB32" s="492"/>
      <c r="AC32" s="492"/>
      <c r="BB32" s="280" t="n">
        <f aca="false">IF(A32="","",1)</f>
        <v>1</v>
      </c>
    </row>
    <row r="33" customFormat="false" ht="12.75" hidden="false" customHeight="false" outlineLevel="0" collapsed="false">
      <c r="A33" s="493" t="s">
        <v>258</v>
      </c>
      <c r="B33" s="494" t="n">
        <v>0.05</v>
      </c>
      <c r="C33" s="495"/>
      <c r="D33" s="477" t="str">
        <f aca="false">IF(ISERROR(VLOOKUP($A33,'liste reference'!$A$7:$D$904,2,0)),IF(ISERROR(VLOOKUP($A33,'liste reference'!$B$7:$D$904,1,0)),"",VLOOKUP($A33,'liste reference'!$B$7:$D$904,1,0)),VLOOKUP($A33,'liste reference'!$A$7:$D$904,2,0))</f>
        <v>Spirogyra sp.</v>
      </c>
      <c r="E33" s="496" t="e">
        <f aca="false">IF(D33="",0,VLOOKUP(D33,D$22:D32,1,0))</f>
        <v>#N/A</v>
      </c>
      <c r="F33" s="497" t="n">
        <f aca="false">($B33*$B$7+$C33*$C$7)/100</f>
        <v>0.0225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Spirogyra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1147</v>
      </c>
      <c r="Q33" s="486" t="n">
        <f aca="false">IF(ISTEXT(H33),"",(B33*$B$7/100)+(C33*$C$7/100))</f>
        <v>0.0225</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SPISPX</v>
      </c>
      <c r="Z33" s="280" t="n">
        <f aca="false">IF(ISERROR(MATCH(A33,'liste reference'!$A$8:$A$904,0)),IF(ISERROR(MATCH(A33,'liste reference'!$B$8:$B$904,0)),"",(MATCH(A33,'liste reference'!$B$8:$B$904,0))),(MATCH(A33,'liste reference'!$A$8:$A$904,0)))</f>
        <v>69</v>
      </c>
      <c r="AA33" s="491"/>
      <c r="AB33" s="492"/>
      <c r="AC33" s="492"/>
      <c r="BB33" s="280" t="n">
        <f aca="false">IF(A33="","",1)</f>
        <v>1</v>
      </c>
    </row>
    <row r="34" customFormat="false" ht="12.75" hidden="false" customHeight="false" outlineLevel="0" collapsed="false">
      <c r="A34" s="493" t="s">
        <v>263</v>
      </c>
      <c r="B34" s="494" t="n">
        <v>0.005</v>
      </c>
      <c r="C34" s="495"/>
      <c r="D34" s="477" t="str">
        <f aca="false">IF(ISERROR(VLOOKUP($A34,'liste reference'!$A$7:$D$904,2,0)),IF(ISERROR(VLOOKUP($A34,'liste reference'!$B$7:$D$904,1,0)),"",VLOOKUP($A34,'liste reference'!$B$7:$D$904,1,0)),VLOOKUP($A34,'liste reference'!$A$7:$D$904,2,0))</f>
        <v>Stigeoclonium sp.</v>
      </c>
      <c r="E34" s="496" t="e">
        <f aca="false">IF(D34="",0,VLOOKUP(D34,D$22:D33,1,0))</f>
        <v>#N/A</v>
      </c>
      <c r="F34" s="500" t="n">
        <f aca="false">($B34*$B$7+$C34*$C$7)/100</f>
        <v>0.00225</v>
      </c>
      <c r="G34" s="479" t="str">
        <f aca="false">IF(A34="","",IF(ISERROR(VLOOKUP($A34,'liste reference'!$A$7:$P$904,13,0)),IF(ISERROR(VLOOKUP($A34,'liste reference'!$B$7:$P$904,12,0)),"    -",VLOOKUP($A34,'liste reference'!$B$7:$P$904,12,0)),VLOOKUP($A34,'liste reference'!$A$7:$P$904,13,0)))</f>
        <v>ALG</v>
      </c>
      <c r="H34" s="480" t="n">
        <f aca="false">IF(A34="","x",IF(ISERROR(VLOOKUP($A34,'liste reference'!$A$8:$P$904,14,0)),IF(ISERROR(VLOOKUP($A34,'liste reference'!$B$8:$P$904,13,0)),"x",VLOOKUP($A34,'liste reference'!$B$8:$P$904,13,0)),VLOOKUP($A34,'liste reference'!$A$8:$P$904,14,0)))</f>
        <v>2</v>
      </c>
      <c r="I34" s="481" t="n">
        <f aca="false">IF(ISNUMBER(H34),IF(ISERROR(VLOOKUP($A34,'liste reference'!$A$7:$P$904,3,0)),IF(ISERROR(VLOOKUP($A34,'liste reference'!$B$7:$P$904,2,0)),"",VLOOKUP($A34,'liste reference'!$B$7:$P$904,2,0)),VLOOKUP($A34,'liste reference'!$A$7:$P$904,3,0)),"")</f>
        <v>13</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Stigeoclonium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1119</v>
      </c>
      <c r="Q34" s="486" t="n">
        <f aca="false">IF(ISTEXT(H34),"",(B34*$B$7/100)+(C34*$C$7/100))</f>
        <v>0.00225</v>
      </c>
      <c r="R34" s="487" t="n">
        <f aca="false">IF(OR(ISTEXT(H34),Q34=0),"",IF(Q34&lt;0.1,1,IF(Q34&lt;1,2,IF(Q34&lt;10,3,IF(Q34&lt;50,4,IF(Q34&gt;=50,5,""))))))</f>
        <v>1</v>
      </c>
      <c r="S34" s="487" t="n">
        <f aca="false">IF(ISERROR(R34*I34),0,R34*I34)</f>
        <v>13</v>
      </c>
      <c r="T34" s="487" t="n">
        <f aca="false">IF(ISERROR(R34*I34*J34),0,R34*I34*J34)</f>
        <v>26</v>
      </c>
      <c r="U34" s="499" t="n">
        <f aca="false">IF(ISERROR(R34*J34),0,R34*J34)</f>
        <v>2</v>
      </c>
      <c r="V34" s="488" t="str">
        <f aca="false">IF(AND(A34="",F34=0),"",IF(F34=0,"Il manque le(s) % de rec. !",""))</f>
        <v/>
      </c>
      <c r="W34" s="489"/>
      <c r="Y34" s="490" t="str">
        <f aca="false">IF(A34="new.cod","NEWCOD",IF(AND((Z34=""),ISTEXT(A34)),A34,IF(Z34="","",INDEX('liste reference'!$A$8:$A$904,Z34))))</f>
        <v>STISPX</v>
      </c>
      <c r="Z34" s="280" t="n">
        <f aca="false">IF(ISERROR(MATCH(A34,'liste reference'!$A$8:$A$904,0)),IF(ISERROR(MATCH(A34,'liste reference'!$B$8:$B$904,0)),"",(MATCH(A34,'liste reference'!$B$8:$B$904,0))),(MATCH(A34,'liste reference'!$A$8:$A$904,0)))</f>
        <v>71</v>
      </c>
      <c r="AA34" s="491"/>
      <c r="AB34" s="492"/>
      <c r="AC34" s="492"/>
      <c r="BB34" s="280" t="n">
        <f aca="false">IF(A34="","",1)</f>
        <v>1</v>
      </c>
    </row>
    <row r="35" customFormat="false" ht="12.75" hidden="false" customHeight="false" outlineLevel="0" collapsed="false">
      <c r="A35" s="493" t="s">
        <v>293</v>
      </c>
      <c r="B35" s="494" t="n">
        <v>0.85</v>
      </c>
      <c r="C35" s="495" t="n">
        <v>0.005</v>
      </c>
      <c r="D35" s="477" t="str">
        <f aca="false">IF(ISERROR(VLOOKUP($A35,'liste reference'!$A$7:$D$904,2,0)),IF(ISERROR(VLOOKUP($A35,'liste reference'!$B$7:$D$904,1,0)),"",VLOOKUP($A35,'liste reference'!$B$7:$D$904,1,0)),VLOOKUP($A35,'liste reference'!$A$7:$D$904,2,0))</f>
        <v>Tolypothrix sp.</v>
      </c>
      <c r="E35" s="496" t="e">
        <f aca="false">IF(D35="",0,VLOOKUP(D35,D$22:D34,1,0))</f>
        <v>#N/A</v>
      </c>
      <c r="F35" s="500" t="n">
        <f aca="false">($B35*$B$7+$C35*$C$7)/100</f>
        <v>0.38525</v>
      </c>
      <c r="G35" s="479" t="str">
        <f aca="false">IF(A35="","",IF(ISERROR(VLOOKUP($A35,'liste reference'!$A$7:$P$904,13,0)),IF(ISERROR(VLOOKUP($A35,'liste reference'!$B$7:$P$904,12,0)),"    -",VLOOKUP($A35,'liste reference'!$B$7:$P$904,12,0)),VLOOKUP($A35,'liste reference'!$A$7:$P$904,13,0)))</f>
        <v>ALG</v>
      </c>
      <c r="H35" s="480" t="n">
        <f aca="false">IF(A35="","x",IF(ISERROR(VLOOKUP($A35,'liste reference'!$A$8:$P$904,14,0)),IF(ISERROR(VLOOKUP($A35,'liste reference'!$B$8:$P$904,13,0)),"x",VLOOKUP($A35,'liste reference'!$B$8:$P$904,13,0)),VLOOKUP($A35,'liste reference'!$A$8:$P$904,14,0)))</f>
        <v>2</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Tolypothrix sp.</v>
      </c>
      <c r="L35" s="498"/>
      <c r="M35" s="498"/>
      <c r="N35" s="498"/>
      <c r="O35" s="484" t="s">
        <v>2685</v>
      </c>
      <c r="P35" s="485" t="n">
        <f aca="false">IF($A35="NEWCOD",IF($AC35="","No",$AC35),IF(ISTEXT($E35),"DEJA SAISI !",IF($A35="","",IF(ISERROR(VLOOKUP($A35,'liste reference'!A:S,19,FALSE())),IF(ISERROR(VLOOKUP($A35,'liste reference'!B:S,19,FALSE())),"",VLOOKUP($A35,'liste reference'!B:S,19,FALSE())),VLOOKUP($A35,'liste reference'!A:S,19,FALSE())))))</f>
        <v>6304</v>
      </c>
      <c r="Q35" s="486" t="n">
        <f aca="false">IF(ISTEXT(H35),"",(B35*$B$7/100)+(C35*$C$7/100))</f>
        <v>0.38525</v>
      </c>
      <c r="R35" s="487" t="n">
        <f aca="false">IF(OR(ISTEXT(H35),Q35=0),"",IF(Q35&lt;0.1,1,IF(Q35&lt;1,2,IF(Q35&lt;10,3,IF(Q35&lt;50,4,IF(Q35&gt;=50,5,""))))))</f>
        <v>2</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TOYSPX</v>
      </c>
      <c r="Z35" s="280" t="n">
        <f aca="false">IF(ISERROR(MATCH(A35,'liste reference'!$A$8:$A$904,0)),IF(ISERROR(MATCH(A35,'liste reference'!$B$8:$B$904,0)),"",(MATCH(A35,'liste reference'!$B$8:$B$904,0))),(MATCH(A35,'liste reference'!$A$8:$A$904,0)))</f>
        <v>79</v>
      </c>
      <c r="AA35" s="491" t="s">
        <v>2685</v>
      </c>
      <c r="AB35" s="492"/>
      <c r="AC35" s="492"/>
      <c r="BB35" s="280" t="n">
        <f aca="false">IF(A35="","",1)</f>
        <v>1</v>
      </c>
    </row>
    <row r="36" customFormat="false" ht="12.75" hidden="false" customHeight="false" outlineLevel="0" collapsed="false">
      <c r="A36" s="493" t="s">
        <v>301</v>
      </c>
      <c r="B36" s="494" t="n">
        <v>0.005</v>
      </c>
      <c r="C36" s="495"/>
      <c r="D36" s="477" t="str">
        <f aca="false">IF(ISERROR(VLOOKUP($A36,'liste reference'!$A$7:$D$904,2,0)),IF(ISERROR(VLOOKUP($A36,'liste reference'!$B$7:$D$904,1,0)),"",VLOOKUP($A36,'liste reference'!$B$7:$D$904,1,0)),VLOOKUP($A36,'liste reference'!$A$7:$D$904,2,0))</f>
        <v>Vaucheria sp.</v>
      </c>
      <c r="E36" s="496" t="e">
        <f aca="false">IF(D36="",0,VLOOKUP(D36,D$22:D35,1,0))</f>
        <v>#N/A</v>
      </c>
      <c r="F36" s="500" t="n">
        <f aca="false">($B36*$B$7+$C36*$C$7)/100</f>
        <v>0.00225</v>
      </c>
      <c r="G36" s="479" t="str">
        <f aca="false">IF(A36="","",IF(ISERROR(VLOOKUP($A36,'liste reference'!$A$7:$P$904,13,0)),IF(ISERROR(VLOOKUP($A36,'liste reference'!$B$7:$P$904,12,0)),"    -",VLOOKUP($A36,'liste reference'!$B$7:$P$904,12,0)),VLOOKUP($A36,'liste reference'!$A$7:$P$904,13,0)))</f>
        <v>ALG</v>
      </c>
      <c r="H36" s="480" t="n">
        <f aca="false">IF(A36="","x",IF(ISERROR(VLOOKUP($A36,'liste reference'!$A$8:$P$904,14,0)),IF(ISERROR(VLOOKUP($A36,'liste reference'!$B$8:$P$904,13,0)),"x",VLOOKUP($A36,'liste reference'!$B$8:$P$904,13,0)),VLOOKUP($A36,'liste reference'!$A$8:$P$904,14,0)))</f>
        <v>2</v>
      </c>
      <c r="I36" s="481" t="n">
        <f aca="false">IF(ISNUMBER(H36),IF(ISERROR(VLOOKUP($A36,'liste reference'!$A$7:$P$904,3,0)),IF(ISERROR(VLOOKUP($A36,'liste reference'!$B$7:$P$904,2,0)),"",VLOOKUP($A36,'liste reference'!$B$7:$P$904,2,0)),VLOOKUP($A36,'liste reference'!$A$7:$P$904,3,0)),"")</f>
        <v>4</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Vaucheria sp.</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6193</v>
      </c>
      <c r="Q36" s="486" t="n">
        <f aca="false">IF(ISTEXT(H36),"",(B36*$B$7/100)+(C36*$C$7/100))</f>
        <v>0.00225</v>
      </c>
      <c r="R36" s="487" t="n">
        <f aca="false">IF(OR(ISTEXT(H36),Q36=0),"",IF(Q36&lt;0.1,1,IF(Q36&lt;1,2,IF(Q36&lt;10,3,IF(Q36&lt;50,4,IF(Q36&gt;=50,5,""))))))</f>
        <v>1</v>
      </c>
      <c r="S36" s="487" t="n">
        <f aca="false">IF(ISERROR(R36*I36),0,R36*I36)</f>
        <v>4</v>
      </c>
      <c r="T36" s="487" t="n">
        <f aca="false">IF(ISERROR(R36*I36*J36),0,R36*I36*J36)</f>
        <v>4</v>
      </c>
      <c r="U36" s="499" t="n">
        <f aca="false">IF(ISERROR(R36*J36),0,R36*J36)</f>
        <v>1</v>
      </c>
      <c r="V36" s="488" t="str">
        <f aca="false">IF(AND(A36="",F36=0),"",IF(F36=0,"Il manque le(s) % de rec. !",""))</f>
        <v/>
      </c>
      <c r="W36" s="489"/>
      <c r="Y36" s="490" t="str">
        <f aca="false">IF(A36="new.cod","NEWCOD",IF(AND((Z36=""),ISTEXT(A36)),A36,IF(Z36="","",INDEX('liste reference'!$A$8:$A$904,Z36))))</f>
        <v>VAUSPX</v>
      </c>
      <c r="Z36" s="280" t="n">
        <f aca="false">IF(ISERROR(MATCH(A36,'liste reference'!$A$8:$A$904,0)),IF(ISERROR(MATCH(A36,'liste reference'!$B$8:$B$904,0)),"",(MATCH(A36,'liste reference'!$B$8:$B$904,0))),(MATCH(A36,'liste reference'!$A$8:$A$904,0)))</f>
        <v>82</v>
      </c>
      <c r="AA36" s="491"/>
      <c r="AB36" s="492"/>
      <c r="AC36" s="492"/>
      <c r="BB36" s="280" t="n">
        <f aca="false">IF(A36="","",1)</f>
        <v>1</v>
      </c>
    </row>
    <row r="37" customFormat="false" ht="12.75" hidden="false" customHeight="false" outlineLevel="0" collapsed="false">
      <c r="A37" s="493" t="s">
        <v>304</v>
      </c>
      <c r="B37" s="494"/>
      <c r="C37" s="495" t="n">
        <v>0.01</v>
      </c>
      <c r="D37" s="477" t="str">
        <f aca="false">IF(ISERROR(VLOOKUP($A37,'liste reference'!$A$7:$D$904,2,0)),IF(ISERROR(VLOOKUP($A37,'liste reference'!$B$7:$D$904,1,0)),"",VLOOKUP($A37,'liste reference'!$B$7:$D$904,1,0)),VLOOKUP($A37,'liste reference'!$A$7:$D$904,2,0))</f>
        <v>Zygnema sp.</v>
      </c>
      <c r="E37" s="496" t="e">
        <f aca="false">IF(D37="",0,VLOOKUP(D37,D$22:D36,1,0))</f>
        <v>#N/A</v>
      </c>
      <c r="F37" s="500" t="n">
        <f aca="false">($B37*$B$7+$C37*$C$7)/100</f>
        <v>0.0055</v>
      </c>
      <c r="G37" s="479" t="str">
        <f aca="false">IF(A37="","",IF(ISERROR(VLOOKUP($A37,'liste reference'!$A$7:$P$904,13,0)),IF(ISERROR(VLOOKUP($A37,'liste reference'!$B$7:$P$904,12,0)),"    -",VLOOKUP($A37,'liste reference'!$B$7:$P$904,12,0)),VLOOKUP($A37,'liste reference'!$A$7:$P$904,13,0)))</f>
        <v>ALG</v>
      </c>
      <c r="H37" s="480" t="n">
        <f aca="false">IF(A37="","x",IF(ISERROR(VLOOKUP($A37,'liste reference'!$A$8:$P$904,14,0)),IF(ISERROR(VLOOKUP($A37,'liste reference'!$B$8:$P$904,13,0)),"x",VLOOKUP($A37,'liste reference'!$B$8:$P$904,13,0)),VLOOKUP($A37,'liste reference'!$A$8:$P$904,14,0)))</f>
        <v>2</v>
      </c>
      <c r="I37" s="481" t="n">
        <f aca="false">IF(ISNUMBER(H37),IF(ISERROR(VLOOKUP($A37,'liste reference'!$A$7:$P$904,3,0)),IF(ISERROR(VLOOKUP($A37,'liste reference'!$B$7:$P$904,2,0)),"",VLOOKUP($A37,'liste reference'!$B$7:$P$904,2,0)),VLOOKUP($A37,'liste reference'!$A$7:$P$904,3,0)),"")</f>
        <v>13</v>
      </c>
      <c r="J37" s="481" t="n">
        <f aca="false">IF(ISNUMBER(H37),IF(ISERROR(VLOOKUP($A37,'liste reference'!$A$7:$P$904,4,0)),IF(ISERROR(VLOOKUP($A37,'liste reference'!$B$7:$P$904,3,0)),"",VLOOKUP($A37,'liste reference'!$B$7:$P$904,3,0)),VLOOKUP($A37,'liste reference'!$A$7:$P$904,4,0)),"")</f>
        <v>3</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Zygnema sp.</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1148</v>
      </c>
      <c r="Q37" s="486" t="n">
        <f aca="false">IF(ISTEXT(H37),"",(B37*$B$7/100)+(C37*$C$7/100))</f>
        <v>0.0055</v>
      </c>
      <c r="R37" s="487" t="n">
        <f aca="false">IF(OR(ISTEXT(H37),Q37=0),"",IF(Q37&lt;0.1,1,IF(Q37&lt;1,2,IF(Q37&lt;10,3,IF(Q37&lt;50,4,IF(Q37&gt;=50,5,""))))))</f>
        <v>1</v>
      </c>
      <c r="S37" s="487" t="n">
        <f aca="false">IF(ISERROR(R37*I37),0,R37*I37)</f>
        <v>13</v>
      </c>
      <c r="T37" s="487" t="n">
        <f aca="false">IF(ISERROR(R37*I37*J37),0,R37*I37*J37)</f>
        <v>39</v>
      </c>
      <c r="U37" s="499" t="n">
        <f aca="false">IF(ISERROR(R37*J37),0,R37*J37)</f>
        <v>3</v>
      </c>
      <c r="V37" s="488" t="str">
        <f aca="false">IF(AND(A37="",F37=0),"",IF(F37=0,"Il manque le(s) % de rec. !",""))</f>
        <v/>
      </c>
      <c r="W37" s="489"/>
      <c r="Y37" s="490" t="str">
        <f aca="false">IF(A37="new.cod","NEWCOD",IF(AND((Z37=""),ISTEXT(A37)),A37,IF(Z37="","",INDEX('liste reference'!$A$8:$A$904,Z37))))</f>
        <v>ZYGSPX</v>
      </c>
      <c r="Z37" s="280" t="n">
        <f aca="false">IF(ISERROR(MATCH(A37,'liste reference'!$A$8:$A$904,0)),IF(ISERROR(MATCH(A37,'liste reference'!$B$8:$B$904,0)),"",(MATCH(A37,'liste reference'!$B$8:$B$904,0))),(MATCH(A37,'liste reference'!$A$8:$A$904,0)))</f>
        <v>83</v>
      </c>
      <c r="AA37" s="491"/>
      <c r="AB37" s="492"/>
      <c r="AC37" s="492"/>
      <c r="BB37" s="280" t="n">
        <f aca="false">IF(A37="","",1)</f>
        <v>1</v>
      </c>
    </row>
    <row r="38" customFormat="false" ht="12.75" hidden="false" customHeight="false" outlineLevel="0" collapsed="false">
      <c r="A38" s="493" t="s">
        <v>896</v>
      </c>
      <c r="B38" s="494"/>
      <c r="C38" s="495" t="n">
        <v>0.005</v>
      </c>
      <c r="D38" s="477" t="str">
        <f aca="false">IF(ISERROR(VLOOKUP($A38,'liste reference'!$A$7:$D$904,2,0)),IF(ISERROR(VLOOKUP($A38,'liste reference'!$B$7:$D$904,1,0)),"",VLOOKUP($A38,'liste reference'!$B$7:$D$904,1,0)),VLOOKUP($A38,'liste reference'!$A$7:$D$904,2,0))</f>
        <v>Fontinalis antipyretica</v>
      </c>
      <c r="E38" s="496" t="e">
        <f aca="false">IF(D38="",0,VLOOKUP(D38,D$22:D26,1,0))</f>
        <v>#N/A</v>
      </c>
      <c r="F38" s="500" t="n">
        <f aca="false">($B38*$B$7+$C38*$C$7)/100</f>
        <v>0.00275</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10</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Fontinalis antipyretica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1310</v>
      </c>
      <c r="Q38" s="486" t="n">
        <f aca="false">IF(ISTEXT(H38),"",(B38*$B$7/100)+(C38*$C$7/100))</f>
        <v>0.00275</v>
      </c>
      <c r="R38" s="487" t="n">
        <f aca="false">IF(OR(ISTEXT(H38),Q38=0),"",IF(Q38&lt;0.1,1,IF(Q38&lt;1,2,IF(Q38&lt;10,3,IF(Q38&lt;50,4,IF(Q38&gt;=50,5,""))))))</f>
        <v>1</v>
      </c>
      <c r="S38" s="487" t="n">
        <f aca="false">IF(ISERROR(R38*I38),0,R38*I38)</f>
        <v>10</v>
      </c>
      <c r="T38" s="487" t="n">
        <f aca="false">IF(ISERROR(R38*I38*J38),0,R38*I38*J38)</f>
        <v>10</v>
      </c>
      <c r="U38" s="499" t="n">
        <f aca="false">IF(ISERROR(R38*J38),0,R38*J38)</f>
        <v>1</v>
      </c>
      <c r="V38" s="488" t="str">
        <f aca="false">IF(AND(A38="",F38=0),"",IF(F38=0,"Il manque le(s) % de rec. !",""))</f>
        <v/>
      </c>
      <c r="W38" s="489"/>
      <c r="Y38" s="490" t="str">
        <f aca="false">IF(A38="new.cod","NEWCOD",IF(AND((Z38=""),ISTEXT(A38)),A38,IF(Z38="","",INDEX('liste reference'!$A$8:$A$904,Z38))))</f>
        <v>FONANT</v>
      </c>
      <c r="Z38" s="280" t="n">
        <f aca="false">IF(ISERROR(MATCH(A38,'liste reference'!$A$8:$A$904,0)),IF(ISERROR(MATCH(A38,'liste reference'!$B$8:$B$904,0)),"",(MATCH(A38,'liste reference'!$B$8:$B$904,0))),(MATCH(A38,'liste reference'!$A$8:$A$904,0)))</f>
        <v>210</v>
      </c>
      <c r="AA38" s="491"/>
      <c r="AB38" s="492"/>
      <c r="AC38" s="492"/>
      <c r="BB38" s="280" t="n">
        <f aca="false">IF(A38="","",1)</f>
        <v>1</v>
      </c>
    </row>
    <row r="39" customFormat="false" ht="12.75" hidden="false" customHeight="false" outlineLevel="0" collapsed="false">
      <c r="A39" s="493" t="s">
        <v>916</v>
      </c>
      <c r="B39" s="494" t="n">
        <v>0.05</v>
      </c>
      <c r="C39" s="495" t="n">
        <v>0.1</v>
      </c>
      <c r="D39" s="477" t="str">
        <f aca="false">IF(ISERROR(VLOOKUP($A39,'liste reference'!$A$7:$D$904,2,0)),IF(ISERROR(VLOOKUP($A39,'liste reference'!$B$7:$D$904,1,0)),"",VLOOKUP($A39,'liste reference'!$B$7:$D$904,1,0)),VLOOKUP($A39,'liste reference'!$A$7:$D$904,2,0))</f>
        <v>Fontinalis squamosa</v>
      </c>
      <c r="E39" s="496" t="e">
        <f aca="false">IF(D39="",0,VLOOKUP(D39,D$22:D38,1,0))</f>
        <v>#N/A</v>
      </c>
      <c r="F39" s="500" t="n">
        <f aca="false">($B39*$B$7+$C39*$C$7)/100</f>
        <v>0.0775</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16</v>
      </c>
      <c r="J39" s="481" t="n">
        <f aca="false">IF(ISNUMBER(H39),IF(ISERROR(VLOOKUP($A39,'liste reference'!$A$7:$P$904,4,0)),IF(ISERROR(VLOOKUP($A39,'liste reference'!$B$7:$P$904,3,0)),"",VLOOKUP($A39,'liste reference'!$B$7:$P$904,3,0)),VLOOKUP($A39,'liste reference'!$A$7:$P$904,4,0)),"")</f>
        <v>3</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Fontinalis squamosa</v>
      </c>
      <c r="L39" s="501"/>
      <c r="M39" s="501"/>
      <c r="N39" s="501"/>
      <c r="O39" s="484" t="s">
        <v>2685</v>
      </c>
      <c r="P39" s="502" t="n">
        <f aca="false">IF($A39="NEWCOD",IF($AC39="","No",$AC39),IF(ISTEXT($E39),"DEJA SAISI !",IF($A39="","",IF(ISERROR(VLOOKUP($A39,'liste reference'!A:S,19,FALSE())),IF(ISERROR(VLOOKUP($A39,'liste reference'!B:S,19,FALSE())),"",VLOOKUP($A39,'liste reference'!B:S,19,FALSE())),VLOOKUP($A39,'liste reference'!A:S,19,FALSE())))))</f>
        <v>1312</v>
      </c>
      <c r="Q39" s="486" t="n">
        <f aca="false">IF(ISTEXT(H39),"",(B39*$B$7/100)+(C39*$C$7/100))</f>
        <v>0.0775</v>
      </c>
      <c r="R39" s="487" t="n">
        <f aca="false">IF(OR(ISTEXT(H39),Q39=0),"",IF(Q39&lt;0.1,1,IF(Q39&lt;1,2,IF(Q39&lt;10,3,IF(Q39&lt;50,4,IF(Q39&gt;=50,5,""))))))</f>
        <v>1</v>
      </c>
      <c r="S39" s="487" t="n">
        <f aca="false">IF(ISERROR(R39*I39),0,R39*I39)</f>
        <v>16</v>
      </c>
      <c r="T39" s="487" t="n">
        <f aca="false">IF(ISERROR(R39*I39*J39),0,R39*I39*J39)</f>
        <v>48</v>
      </c>
      <c r="U39" s="499" t="n">
        <f aca="false">IF(ISERROR(R39*J39),0,R39*J39)</f>
        <v>3</v>
      </c>
      <c r="V39" s="488" t="str">
        <f aca="false">IF(AND(A39="",F39=0),"",IF(F39=0,"Il manque le(s) % de rec. !",""))</f>
        <v/>
      </c>
      <c r="W39" s="489"/>
      <c r="Y39" s="490" t="str">
        <f aca="false">IF(A39="new.cod","NEWCOD",IF(AND((Z39=""),ISTEXT(A39)),A39,IF(Z39="","",INDEX('liste reference'!$A$8:$A$904,Z39))))</f>
        <v>FONSQU</v>
      </c>
      <c r="Z39" s="280" t="n">
        <f aca="false">IF(ISERROR(MATCH(A39,'liste reference'!$A$8:$A$904,0)),IF(ISERROR(MATCH(A39,'liste reference'!$B$8:$B$904,0)),"",(MATCH(A39,'liste reference'!$B$8:$B$904,0))),(MATCH(A39,'liste reference'!$A$8:$A$904,0)))</f>
        <v>214</v>
      </c>
      <c r="AA39" s="491" t="s">
        <v>2685</v>
      </c>
      <c r="AB39" s="492"/>
      <c r="AC39" s="492"/>
      <c r="BB39" s="280" t="n">
        <f aca="false">IF(A39="","",1)</f>
        <v>1</v>
      </c>
    </row>
    <row r="40" customFormat="false" ht="12.75" hidden="false" customHeight="false" outlineLevel="0" collapsed="false">
      <c r="A40" s="493" t="s">
        <v>1054</v>
      </c>
      <c r="B40" s="494" t="n">
        <v>1.1</v>
      </c>
      <c r="C40" s="495" t="n">
        <v>0.005</v>
      </c>
      <c r="D40" s="477" t="str">
        <f aca="false">IF(ISERROR(VLOOKUP($A40,'liste reference'!$A$7:$D$904,2,0)),IF(ISERROR(VLOOKUP($A40,'liste reference'!$B$7:$D$904,1,0)),"",VLOOKUP($A40,'liste reference'!$B$7:$D$904,1,0)),VLOOKUP($A40,'liste reference'!$A$7:$D$904,2,0))</f>
        <v>Rhynchostegium riparioides</v>
      </c>
      <c r="E40" s="496" t="e">
        <f aca="false">IF(D40="",0,VLOOKUP(D40,D$22:D39,1,0))</f>
        <v>#N/A</v>
      </c>
      <c r="F40" s="500" t="n">
        <f aca="false">($B40*$B$7+$C40*$C$7)/100</f>
        <v>0.49775</v>
      </c>
      <c r="G40" s="479" t="str">
        <f aca="false">IF(A40="","",IF(ISERROR(VLOOKUP($A40,'liste reference'!$A$7:$P$904,13,0)),IF(ISERROR(VLOOKUP($A40,'liste reference'!$B$7:$P$904,12,0)),"    -",VLOOKUP($A40,'liste reference'!$B$7:$P$904,12,0)),VLOOKUP($A40,'liste reference'!$A$7:$P$904,13,0)))</f>
        <v>BRm</v>
      </c>
      <c r="H40" s="480" t="n">
        <f aca="false">IF(A40="","x",IF(ISERROR(VLOOKUP($A40,'liste reference'!$A$8:$P$904,14,0)),IF(ISERROR(VLOOKUP($A40,'liste reference'!$B$8:$P$904,13,0)),"x",VLOOKUP($A40,'liste reference'!$B$8:$P$904,13,0)),VLOOKUP($A40,'liste reference'!$A$8:$P$904,14,0)))</f>
        <v>5</v>
      </c>
      <c r="I40" s="481" t="n">
        <f aca="false">IF(ISNUMBER(H40),IF(ISERROR(VLOOKUP($A40,'liste reference'!$A$7:$P$904,3,0)),IF(ISERROR(VLOOKUP($A40,'liste reference'!$B$7:$P$904,2,0)),"",VLOOKUP($A40,'liste reference'!$B$7:$P$904,2,0)),VLOOKUP($A40,'liste reference'!$A$7:$P$904,3,0)),"")</f>
        <v>12</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Rhynchostegium riparioides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1268</v>
      </c>
      <c r="Q40" s="486" t="n">
        <f aca="false">IF(ISTEXT(H40),"",(B40*$B$7/100)+(C40*$C$7/100))</f>
        <v>0.49775</v>
      </c>
      <c r="R40" s="487" t="n">
        <f aca="false">IF(OR(ISTEXT(H40),Q40=0),"",IF(Q40&lt;0.1,1,IF(Q40&lt;1,2,IF(Q40&lt;10,3,IF(Q40&lt;50,4,IF(Q40&gt;=50,5,""))))))</f>
        <v>2</v>
      </c>
      <c r="S40" s="487" t="n">
        <f aca="false">IF(ISERROR(R40*I40),0,R40*I40)</f>
        <v>24</v>
      </c>
      <c r="T40" s="487" t="n">
        <f aca="false">IF(ISERROR(R40*I40*J40),0,R40*I40*J40)</f>
        <v>24</v>
      </c>
      <c r="U40" s="499" t="n">
        <f aca="false">IF(ISERROR(R40*J40),0,R40*J40)</f>
        <v>2</v>
      </c>
      <c r="V40" s="488" t="str">
        <f aca="false">IF(AND(A40="",F40=0),"",IF(F40=0,"Il manque le(s) % de rec. !",""))</f>
        <v/>
      </c>
      <c r="W40" s="489"/>
      <c r="Y40" s="490" t="str">
        <f aca="false">IF(A40="new.cod","NEWCOD",IF(AND((Z40=""),ISTEXT(A40)),A40,IF(Z40="","",INDEX('liste reference'!$A$8:$A$904,Z40))))</f>
        <v>RHYRIP</v>
      </c>
      <c r="Z40" s="280" t="n">
        <f aca="false">IF(ISERROR(MATCH(A40,'liste reference'!$A$8:$A$904,0)),IF(ISERROR(MATCH(A40,'liste reference'!$B$8:$B$904,0)),"",(MATCH(A40,'liste reference'!$B$8:$B$904,0))),(MATCH(A40,'liste reference'!$A$8:$A$904,0)))</f>
        <v>252</v>
      </c>
      <c r="AA40" s="491"/>
      <c r="AB40" s="492"/>
      <c r="AC40" s="492"/>
      <c r="BB40" s="280" t="n">
        <f aca="false">IF(A40="","",1)</f>
        <v>1</v>
      </c>
    </row>
    <row r="41" customFormat="false" ht="12.75" hidden="false" customHeight="false" outlineLevel="0" collapsed="false">
      <c r="A41" s="493" t="s">
        <v>1153</v>
      </c>
      <c r="B41" s="494" t="n">
        <v>0.02</v>
      </c>
      <c r="C41" s="495" t="n">
        <v>0.03</v>
      </c>
      <c r="D41" s="477" t="str">
        <f aca="false">IF(ISERROR(VLOOKUP($A41,'liste reference'!$A$7:$D$904,2,0)),IF(ISERROR(VLOOKUP($A41,'liste reference'!$B$7:$D$904,1,0)),"",VLOOKUP($A41,'liste reference'!$B$7:$D$904,1,0)),VLOOKUP($A41,'liste reference'!$A$7:$D$904,2,0))</f>
        <v>Equisetum arvense</v>
      </c>
      <c r="E41" s="496" t="e">
        <f aca="false">IF(D41="",0,VLOOKUP(D41,D$22:D40,1,0))</f>
        <v>#N/A</v>
      </c>
      <c r="F41" s="500" t="n">
        <f aca="false">($B41*$B$7+$C41*$C$7)/100</f>
        <v>0.0255</v>
      </c>
      <c r="G41" s="479" t="str">
        <f aca="false">IF(A41="","",IF(ISERROR(VLOOKUP($A41,'liste reference'!$A$7:$P$904,13,0)),IF(ISERROR(VLOOKUP($A41,'liste reference'!$B$7:$P$904,12,0)),"    -",VLOOKUP($A41,'liste reference'!$B$7:$P$904,12,0)),VLOOKUP($A41,'liste reference'!$A$7:$P$904,13,0)))</f>
        <v>PTE</v>
      </c>
      <c r="H41" s="480" t="n">
        <f aca="false">IF(A41="","x",IF(ISERROR(VLOOKUP($A41,'liste reference'!$A$8:$P$904,14,0)),IF(ISERROR(VLOOKUP($A41,'liste reference'!$B$8:$P$904,13,0)),"x",VLOOKUP($A41,'liste reference'!$B$8:$P$904,13,0)),VLOOKUP($A41,'liste reference'!$A$8:$P$904,14,0)))</f>
        <v>6</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Equisetum arvense</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1384</v>
      </c>
      <c r="Q41" s="486" t="n">
        <f aca="false">IF(ISTEXT(H41),"",(B41*$B$7/100)+(C41*$C$7/100))</f>
        <v>0.0255</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EQUARV</v>
      </c>
      <c r="Z41" s="280" t="n">
        <f aca="false">IF(ISERROR(MATCH(A41,'liste reference'!$A$8:$A$904,0)),IF(ISERROR(MATCH(A41,'liste reference'!$B$8:$B$904,0)),"",(MATCH(A41,'liste reference'!$B$8:$B$904,0))),(MATCH(A41,'liste reference'!$A$8:$A$904,0)))</f>
        <v>278</v>
      </c>
      <c r="AA41" s="491"/>
      <c r="AB41" s="492"/>
      <c r="AC41" s="492"/>
      <c r="BB41" s="280" t="n">
        <f aca="false">IF(A41="","",1)</f>
        <v>1</v>
      </c>
    </row>
    <row r="42" customFormat="false" ht="12.75" hidden="false" customHeight="false" outlineLevel="0" collapsed="false">
      <c r="A42" s="493" t="s">
        <v>1224</v>
      </c>
      <c r="B42" s="494" t="n">
        <v>0.1</v>
      </c>
      <c r="C42" s="495"/>
      <c r="D42" s="477" t="str">
        <f aca="false">IF(ISERROR(VLOOKUP($A42,'liste reference'!$A$7:$D$904,2,0)),IF(ISERROR(VLOOKUP($A42,'liste reference'!$B$7:$D$904,1,0)),"",VLOOKUP($A42,'liste reference'!$B$7:$D$904,1,0)),VLOOKUP($A42,'liste reference'!$A$7:$D$904,2,0))</f>
        <v>Apium nodiflorum</v>
      </c>
      <c r="E42" s="496" t="e">
        <f aca="false">IF(D42="",0,VLOOKUP(D42,D$22:D41,1,0))</f>
        <v>#N/A</v>
      </c>
      <c r="F42" s="500" t="n">
        <f aca="false">($B42*$B$7+$C42*$C$7)/100</f>
        <v>0.045</v>
      </c>
      <c r="G42" s="479" t="str">
        <f aca="false">IF(A42="","",IF(ISERROR(VLOOKUP($A42,'liste reference'!$A$7:$P$904,13,0)),IF(ISERROR(VLOOKUP($A42,'liste reference'!$B$7:$P$904,12,0)),"    -",VLOOKUP($A42,'liste reference'!$B$7:$P$904,12,0)),VLOOKUP($A42,'liste reference'!$A$7:$P$904,13,0)))</f>
        <v>PHy</v>
      </c>
      <c r="H42" s="480" t="n">
        <f aca="false">IF(A42="","x",IF(ISERROR(VLOOKUP($A42,'liste reference'!$A$8:$P$904,14,0)),IF(ISERROR(VLOOKUP($A42,'liste reference'!$B$8:$P$904,13,0)),"x",VLOOKUP($A42,'liste reference'!$B$8:$P$904,13,0)),VLOOKUP($A42,'liste reference'!$A$8:$P$904,14,0)))</f>
        <v>7</v>
      </c>
      <c r="I42" s="481" t="n">
        <f aca="false">IF(ISNUMBER(H42),IF(ISERROR(VLOOKUP($A42,'liste reference'!$A$7:$P$904,3,0)),IF(ISERROR(VLOOKUP($A42,'liste reference'!$B$7:$P$904,2,0)),"",VLOOKUP($A42,'liste reference'!$B$7:$P$904,2,0)),VLOOKUP($A42,'liste reference'!$A$7:$P$904,3,0)),"")</f>
        <v>10</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Apium nodiflorum</v>
      </c>
      <c r="L42" s="501"/>
      <c r="M42" s="501"/>
      <c r="N42" s="501"/>
      <c r="O42" s="484"/>
      <c r="P42" s="502" t="n">
        <f aca="false">IF($A42="NEWCOD",IF($AC42="","No",$AC42),IF(ISTEXT($E42),"DEJA SAISI !",IF($A42="","",IF(ISERROR(VLOOKUP($A42,'liste reference'!A:S,19,FALSE())),IF(ISERROR(VLOOKUP($A42,'liste reference'!B:S,19,FALSE())),"",VLOOKUP($A42,'liste reference'!B:S,19,FALSE())),VLOOKUP($A42,'liste reference'!A:S,19,FALSE())))))</f>
        <v>1974</v>
      </c>
      <c r="Q42" s="486" t="n">
        <f aca="false">IF(ISTEXT(H42),"",(B42*$B$7/100)+(C42*$C$7/100))</f>
        <v>0.045</v>
      </c>
      <c r="R42" s="487" t="n">
        <f aca="false">IF(OR(ISTEXT(H42),Q42=0),"",IF(Q42&lt;0.1,1,IF(Q42&lt;1,2,IF(Q42&lt;10,3,IF(Q42&lt;50,4,IF(Q42&gt;=50,5,""))))))</f>
        <v>1</v>
      </c>
      <c r="S42" s="487" t="n">
        <f aca="false">IF(ISERROR(R42*I42),0,R42*I42)</f>
        <v>10</v>
      </c>
      <c r="T42" s="487" t="n">
        <f aca="false">IF(ISERROR(R42*I42*J42),0,R42*I42*J42)</f>
        <v>10</v>
      </c>
      <c r="U42" s="499" t="n">
        <f aca="false">IF(ISERROR(R42*J42),0,R42*J42)</f>
        <v>1</v>
      </c>
      <c r="V42" s="488" t="str">
        <f aca="false">IF(AND(A42="",F42=0),"",IF(F42=0,"Il manque le(s) % de rec. !",""))</f>
        <v/>
      </c>
      <c r="W42" s="489"/>
      <c r="Y42" s="490" t="str">
        <f aca="false">IF(A42="new.cod","NEWCOD",IF(AND((Z42=""),ISTEXT(A42)),A42,IF(Z42="","",INDEX('liste reference'!$A$8:$A$904,Z42))))</f>
        <v>APINOD</v>
      </c>
      <c r="Z42" s="280" t="n">
        <f aca="false">IF(ISERROR(MATCH(A42,'liste reference'!$A$8:$A$904,0)),IF(ISERROR(MATCH(A42,'liste reference'!$B$8:$B$904,0)),"",(MATCH(A42,'liste reference'!$B$8:$B$904,0))),(MATCH(A42,'liste reference'!$A$8:$A$904,0)))</f>
        <v>309</v>
      </c>
      <c r="AA42" s="491"/>
      <c r="AB42" s="492"/>
      <c r="AC42" s="492"/>
      <c r="BB42" s="280" t="n">
        <f aca="false">IF(A42="","",1)</f>
        <v>1</v>
      </c>
    </row>
    <row r="43" customFormat="false" ht="12.75" hidden="false" customHeight="false" outlineLevel="0" collapsed="false">
      <c r="A43" s="493" t="s">
        <v>1254</v>
      </c>
      <c r="B43" s="494" t="n">
        <v>1.25</v>
      </c>
      <c r="C43" s="495" t="n">
        <v>0.6</v>
      </c>
      <c r="D43" s="477" t="str">
        <f aca="false">IF(ISERROR(VLOOKUP($A43,'liste reference'!$A$7:$D$904,2,0)),IF(ISERROR(VLOOKUP($A43,'liste reference'!$B$7:$D$904,1,0)),"",VLOOKUP($A43,'liste reference'!$B$7:$D$904,1,0)),VLOOKUP($A43,'liste reference'!$A$7:$D$904,2,0))</f>
        <v>Callitriche obtusangula</v>
      </c>
      <c r="E43" s="496" t="e">
        <f aca="false">IF(D43="",0,VLOOKUP(D43,D$22:D42,1,0))</f>
        <v>#N/A</v>
      </c>
      <c r="F43" s="500" t="n">
        <f aca="false">($B43*$B$7+$C43*$C$7)/100</f>
        <v>0.8925</v>
      </c>
      <c r="G43" s="479" t="str">
        <f aca="false">IF(A43="","",IF(ISERROR(VLOOKUP($A43,'liste reference'!$A$7:$P$904,13,0)),IF(ISERROR(VLOOKUP($A43,'liste reference'!$B$7:$P$904,12,0)),"    -",VLOOKUP($A43,'liste reference'!$B$7:$P$904,12,0)),VLOOKUP($A43,'liste reference'!$A$7:$P$904,13,0)))</f>
        <v>PHy</v>
      </c>
      <c r="H43" s="480" t="n">
        <f aca="false">IF(A43="","x",IF(ISERROR(VLOOKUP($A43,'liste reference'!$A$8:$P$904,14,0)),IF(ISERROR(VLOOKUP($A43,'liste reference'!$B$8:$P$904,13,0)),"x",VLOOKUP($A43,'liste reference'!$B$8:$P$904,13,0)),VLOOKUP($A43,'liste reference'!$A$8:$P$904,14,0)))</f>
        <v>7</v>
      </c>
      <c r="I43" s="481" t="n">
        <f aca="false">IF(ISNUMBER(H43),IF(ISERROR(VLOOKUP($A43,'liste reference'!$A$7:$P$904,3,0)),IF(ISERROR(VLOOKUP($A43,'liste reference'!$B$7:$P$904,2,0)),"",VLOOKUP($A43,'liste reference'!$B$7:$P$904,2,0)),VLOOKUP($A43,'liste reference'!$A$7:$P$904,3,0)),"")</f>
        <v>8</v>
      </c>
      <c r="J43" s="481" t="n">
        <f aca="false">IF(ISNUMBER(H43),IF(ISERROR(VLOOKUP($A43,'liste reference'!$A$7:$P$904,4,0)),IF(ISERROR(VLOOKUP($A43,'liste reference'!$B$7:$P$904,3,0)),"",VLOOKUP($A43,'liste reference'!$B$7:$P$904,3,0)),VLOOKUP($A43,'liste reference'!$A$7:$P$904,4,0)),"")</f>
        <v>2</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Callitriche obtusangula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1700</v>
      </c>
      <c r="Q43" s="486" t="n">
        <f aca="false">IF(ISTEXT(H43),"",(B43*$B$7/100)+(C43*$C$7/100))</f>
        <v>0.8925</v>
      </c>
      <c r="R43" s="487" t="n">
        <f aca="false">IF(OR(ISTEXT(H43),Q43=0),"",IF(Q43&lt;0.1,1,IF(Q43&lt;1,2,IF(Q43&lt;10,3,IF(Q43&lt;50,4,IF(Q43&gt;=50,5,""))))))</f>
        <v>2</v>
      </c>
      <c r="S43" s="487" t="n">
        <f aca="false">IF(ISERROR(R43*I43),0,R43*I43)</f>
        <v>16</v>
      </c>
      <c r="T43" s="487" t="n">
        <f aca="false">IF(ISERROR(R43*I43*J43),0,R43*I43*J43)</f>
        <v>32</v>
      </c>
      <c r="U43" s="499" t="n">
        <f aca="false">IF(ISERROR(R43*J43),0,R43*J43)</f>
        <v>4</v>
      </c>
      <c r="V43" s="488" t="str">
        <f aca="false">IF(AND(A43="",F43=0),"",IF(F43=0,"Il manque le(s) % de rec. !",""))</f>
        <v/>
      </c>
      <c r="W43" s="489"/>
      <c r="Y43" s="490" t="str">
        <f aca="false">IF(A43="new.cod","NEWCOD",IF(AND((Z43=""),ISTEXT(A43)),A43,IF(Z43="","",INDEX('liste reference'!$A$8:$A$904,Z43))))</f>
        <v>CALOBT</v>
      </c>
      <c r="Z43" s="280" t="n">
        <f aca="false">IF(ISERROR(MATCH(A43,'liste reference'!$A$8:$A$904,0)),IF(ISERROR(MATCH(A43,'liste reference'!$B$8:$B$904,0)),"",(MATCH(A43,'liste reference'!$B$8:$B$904,0))),(MATCH(A43,'liste reference'!$A$8:$A$904,0)))</f>
        <v>320</v>
      </c>
      <c r="AA43" s="491"/>
      <c r="AB43" s="492"/>
      <c r="AC43" s="492"/>
      <c r="BB43" s="280" t="n">
        <f aca="false">IF(A43="","",1)</f>
        <v>1</v>
      </c>
    </row>
    <row r="44" customFormat="false" ht="12.75" hidden="false" customHeight="false" outlineLevel="0" collapsed="false">
      <c r="A44" s="493" t="s">
        <v>1446</v>
      </c>
      <c r="B44" s="494" t="n">
        <v>0.15</v>
      </c>
      <c r="C44" s="495" t="n">
        <v>0.05</v>
      </c>
      <c r="D44" s="477" t="str">
        <f aca="false">IF(ISERROR(VLOOKUP($A44,'liste reference'!$A$7:$D$904,2,0)),IF(ISERROR(VLOOKUP($A44,'liste reference'!$B$7:$D$904,1,0)),"",VLOOKUP($A44,'liste reference'!$B$7:$D$904,1,0)),VLOOKUP($A44,'liste reference'!$A$7:$D$904,2,0))</f>
        <v>Potamogeton berchtoldii</v>
      </c>
      <c r="E44" s="496" t="e">
        <f aca="false">IF(D44="",0,VLOOKUP(D44,D$22:D43,1,0))</f>
        <v>#N/A</v>
      </c>
      <c r="F44" s="500" t="n">
        <f aca="false">($B44*$B$7+$C44*$C$7)/100</f>
        <v>0.095</v>
      </c>
      <c r="G44" s="479" t="str">
        <f aca="false">IF(A44="","",IF(ISERROR(VLOOKUP($A44,'liste reference'!$A$7:$P$904,13,0)),IF(ISERROR(VLOOKUP($A44,'liste reference'!$B$7:$P$904,12,0)),"    -",VLOOKUP($A44,'liste reference'!$B$7:$P$904,12,0)),VLOOKUP($A44,'liste reference'!$A$7:$P$904,13,0)))</f>
        <v>PHy</v>
      </c>
      <c r="H44" s="480" t="n">
        <f aca="false">IF(A44="","x",IF(ISERROR(VLOOKUP($A44,'liste reference'!$A$8:$P$904,14,0)),IF(ISERROR(VLOOKUP($A44,'liste reference'!$B$8:$P$904,13,0)),"x",VLOOKUP($A44,'liste reference'!$B$8:$P$904,13,0)),VLOOKUP($A44,'liste reference'!$A$8:$P$904,14,0)))</f>
        <v>7</v>
      </c>
      <c r="I44" s="481" t="n">
        <f aca="false">IF(ISNUMBER(H44),IF(ISERROR(VLOOKUP($A44,'liste reference'!$A$7:$P$904,3,0)),IF(ISERROR(VLOOKUP($A44,'liste reference'!$B$7:$P$904,2,0)),"",VLOOKUP($A44,'liste reference'!$B$7:$P$904,2,0)),VLOOKUP($A44,'liste reference'!$A$7:$P$904,3,0)),"")</f>
        <v>9</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Potamogeton berchtoldii</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1642</v>
      </c>
      <c r="Q44" s="486" t="n">
        <f aca="false">IF(ISTEXT(H44),"",(B44*$B$7/100)+(C44*$C$7/100))</f>
        <v>0.095</v>
      </c>
      <c r="R44" s="487" t="n">
        <f aca="false">IF(OR(ISTEXT(H44),Q44=0),"",IF(Q44&lt;0.1,1,IF(Q44&lt;1,2,IF(Q44&lt;10,3,IF(Q44&lt;50,4,IF(Q44&gt;=50,5,""))))))</f>
        <v>1</v>
      </c>
      <c r="S44" s="487" t="n">
        <f aca="false">IF(ISERROR(R44*I44),0,R44*I44)</f>
        <v>9</v>
      </c>
      <c r="T44" s="487" t="n">
        <f aca="false">IF(ISERROR(R44*I44*J44),0,R44*I44*J44)</f>
        <v>18</v>
      </c>
      <c r="U44" s="499" t="n">
        <f aca="false">IF(ISERROR(R44*J44),0,R44*J44)</f>
        <v>2</v>
      </c>
      <c r="V44" s="488" t="str">
        <f aca="false">IF(AND(A44="",F44=0),"",IF(F44=0,"Il manque le(s) % de rec. !",""))</f>
        <v/>
      </c>
      <c r="W44" s="489"/>
      <c r="Y44" s="490" t="str">
        <f aca="false">IF(A44="new.cod","NEWCOD",IF(AND((Z44=""),ISTEXT(A44)),A44,IF(Z44="","",INDEX('liste reference'!$A$8:$A$904,Z44))))</f>
        <v>POTBER</v>
      </c>
      <c r="Z44" s="280" t="n">
        <f aca="false">IF(ISERROR(MATCH(A44,'liste reference'!$A$8:$A$904,0)),IF(ISERROR(MATCH(A44,'liste reference'!$B$8:$B$904,0)),"",(MATCH(A44,'liste reference'!$B$8:$B$904,0))),(MATCH(A44,'liste reference'!$A$8:$A$904,0)))</f>
        <v>406</v>
      </c>
      <c r="AA44" s="491"/>
      <c r="AB44" s="492"/>
      <c r="AC44" s="492"/>
      <c r="BB44" s="280" t="n">
        <f aca="false">IF(A44="","",1)</f>
        <v>1</v>
      </c>
    </row>
    <row r="45" customFormat="false" ht="12.75" hidden="false" customHeight="false" outlineLevel="0" collapsed="false">
      <c r="A45" s="493" t="s">
        <v>1586</v>
      </c>
      <c r="B45" s="494" t="n">
        <v>0.5</v>
      </c>
      <c r="C45" s="495" t="n">
        <v>0.5</v>
      </c>
      <c r="D45" s="477" t="str">
        <f aca="false">IF(ISERROR(VLOOKUP($A45,'liste reference'!$A$7:$D$904,2,0)),IF(ISERROR(VLOOKUP($A45,'liste reference'!$B$7:$D$904,1,0)),"",VLOOKUP($A45,'liste reference'!$B$7:$D$904,1,0)),VLOOKUP($A45,'liste reference'!$A$7:$D$904,2,0))</f>
        <v>Ranunculus penicillatus var. penicillatus</v>
      </c>
      <c r="E45" s="496" t="e">
        <f aca="false">IF(D45="",0,VLOOKUP(D45,D$22:D44,1,0))</f>
        <v>#N/A</v>
      </c>
      <c r="F45" s="500" t="n">
        <f aca="false">($B45*$B$7+$C45*$C$7)/100</f>
        <v>0.5</v>
      </c>
      <c r="G45" s="479" t="str">
        <f aca="false">IF(A45="","",IF(ISERROR(VLOOKUP($A45,'liste reference'!$A$7:$P$904,13,0)),IF(ISERROR(VLOOKUP($A45,'liste reference'!$B$7:$P$904,12,0)),"    -",VLOOKUP($A45,'liste reference'!$B$7:$P$904,12,0)),VLOOKUP($A45,'liste reference'!$A$7:$P$904,13,0)))</f>
        <v>PHy</v>
      </c>
      <c r="H45" s="480" t="n">
        <f aca="false">IF(A45="","x",IF(ISERROR(VLOOKUP($A45,'liste reference'!$A$8:$P$904,14,0)),IF(ISERROR(VLOOKUP($A45,'liste reference'!$B$8:$P$904,13,0)),"x",VLOOKUP($A45,'liste reference'!$B$8:$P$904,13,0)),VLOOKUP($A45,'liste reference'!$A$8:$P$904,14,0)))</f>
        <v>7</v>
      </c>
      <c r="I45" s="481" t="n">
        <f aca="false">IF(ISNUMBER(H45),IF(ISERROR(VLOOKUP($A45,'liste reference'!$A$7:$P$904,3,0)),IF(ISERROR(VLOOKUP($A45,'liste reference'!$B$7:$P$904,2,0)),"",VLOOKUP($A45,'liste reference'!$B$7:$P$904,2,0)),VLOOKUP($A45,'liste reference'!$A$7:$P$904,3,0)),"")</f>
        <v>12</v>
      </c>
      <c r="J45" s="481" t="n">
        <f aca="false">IF(ISNUMBER(H45),IF(ISERROR(VLOOKUP($A45,'liste reference'!$A$7:$P$904,4,0)),IF(ISERROR(VLOOKUP($A45,'liste reference'!$B$7:$P$904,3,0)),"",VLOOKUP($A45,'liste reference'!$B$7:$P$904,3,0)),VLOOKUP($A45,'liste reference'!$A$7:$P$904,4,0)),"")</f>
        <v>1</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Ranunculus penicillatus var. penicillatus</v>
      </c>
      <c r="L45" s="498"/>
      <c r="M45" s="498"/>
      <c r="N45" s="498"/>
      <c r="O45" s="484" t="s">
        <v>2685</v>
      </c>
      <c r="P45" s="485" t="n">
        <f aca="false">IF($A45="NEWCOD",IF($AC45="","No",$AC45),IF(ISTEXT($E45),"DEJA SAISI !",IF($A45="","",IF(ISERROR(VLOOKUP($A45,'liste reference'!A:S,19,FALSE())),IF(ISERROR(VLOOKUP($A45,'liste reference'!B:S,19,FALSE())),"",VLOOKUP($A45,'liste reference'!B:S,19,FALSE())),VLOOKUP($A45,'liste reference'!A:S,19,FALSE())))))</f>
        <v>1909</v>
      </c>
      <c r="Q45" s="486" t="n">
        <f aca="false">IF(ISTEXT(H45),"",(B45*$B$7/100)+(C45*$C$7/100))</f>
        <v>0.5</v>
      </c>
      <c r="R45" s="487" t="n">
        <f aca="false">IF(OR(ISTEXT(H45),Q45=0),"",IF(Q45&lt;0.1,1,IF(Q45&lt;1,2,IF(Q45&lt;10,3,IF(Q45&lt;50,4,IF(Q45&gt;=50,5,""))))))</f>
        <v>2</v>
      </c>
      <c r="S45" s="487" t="n">
        <f aca="false">IF(ISERROR(R45*I45),0,R45*I45)</f>
        <v>24</v>
      </c>
      <c r="T45" s="487" t="n">
        <f aca="false">IF(ISERROR(R45*I45*J45),0,R45*I45*J45)</f>
        <v>24</v>
      </c>
      <c r="U45" s="499" t="n">
        <f aca="false">IF(ISERROR(R45*J45),0,R45*J45)</f>
        <v>2</v>
      </c>
      <c r="V45" s="488" t="str">
        <f aca="false">IF(AND(A45="",F45=0),"",IF(F45=0,"Il manque le(s) % de rec. !",""))</f>
        <v/>
      </c>
      <c r="W45" s="489"/>
      <c r="X45" s="489"/>
      <c r="Y45" s="490" t="str">
        <f aca="false">IF(A45="new.cod","NEWCOD",IF(AND((Z45=""),ISTEXT(A45)),A45,IF(Z45="","",INDEX('liste reference'!$A$8:$A$904,Z45))))</f>
        <v>RANPEE</v>
      </c>
      <c r="Z45" s="280" t="n">
        <f aca="false">IF(ISERROR(MATCH(A45,'liste reference'!$A$8:$A$904,0)),IF(ISERROR(MATCH(A45,'liste reference'!$B$8:$B$904,0)),"",(MATCH(A45,'liste reference'!$B$8:$B$904,0))),(MATCH(A45,'liste reference'!$A$8:$A$904,0)))</f>
        <v>463</v>
      </c>
      <c r="AA45" s="491" t="s">
        <v>2685</v>
      </c>
      <c r="AB45" s="492" t="s">
        <v>2686</v>
      </c>
      <c r="AC45" s="492"/>
      <c r="BB45" s="280" t="n">
        <f aca="false">IF(A45="","",1)</f>
        <v>1</v>
      </c>
    </row>
    <row r="46" customFormat="false" ht="12.75" hidden="false" customHeight="false" outlineLevel="0" collapsed="false">
      <c r="A46" s="493" t="s">
        <v>1708</v>
      </c>
      <c r="B46" s="494" t="n">
        <v>3</v>
      </c>
      <c r="C46" s="495" t="n">
        <v>1.2</v>
      </c>
      <c r="D46" s="477" t="str">
        <f aca="false">IF(ISERROR(VLOOKUP($A46,'liste reference'!$A$7:$D$904,2,0)),IF(ISERROR(VLOOKUP($A46,'liste reference'!$B$7:$D$904,1,0)),"",VLOOKUP($A46,'liste reference'!$B$7:$D$904,1,0)),VLOOKUP($A46,'liste reference'!$A$7:$D$904,2,0))</f>
        <v>Agrostis stolonifera</v>
      </c>
      <c r="E46" s="496" t="e">
        <f aca="false">IF(D46="",0,VLOOKUP(D46,D$22:D45,1,0))</f>
        <v>#N/A</v>
      </c>
      <c r="F46" s="500" t="n">
        <f aca="false">($B46*$B$7+$C46*$C$7)/100</f>
        <v>2.01</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10</v>
      </c>
      <c r="J46" s="481" t="n">
        <f aca="false">IF(ISNUMBER(H46),IF(ISERROR(VLOOKUP($A46,'liste reference'!$A$7:$P$904,4,0)),IF(ISERROR(VLOOKUP($A46,'liste reference'!$B$7:$P$904,3,0)),"",VLOOKUP($A46,'liste reference'!$B$7:$P$904,3,0)),VLOOKUP($A46,'liste reference'!$A$7:$P$904,4,0)),"")</f>
        <v>1</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Agrostis stolonifera</v>
      </c>
      <c r="L46" s="498"/>
      <c r="M46" s="498"/>
      <c r="N46" s="498"/>
      <c r="O46" s="484" t="s">
        <v>2685</v>
      </c>
      <c r="P46" s="485" t="n">
        <f aca="false">IF($A46="NEWCOD",IF($AC46="","No",$AC46),IF(ISTEXT($E46),"DEJA SAISI !",IF($A46="","",IF(ISERROR(VLOOKUP($A46,'liste reference'!A:S,19,FALSE())),IF(ISERROR(VLOOKUP($A46,'liste reference'!B:S,19,FALSE())),"",VLOOKUP($A46,'liste reference'!B:S,19,FALSE())),VLOOKUP($A46,'liste reference'!A:S,19,FALSE())))))</f>
        <v>1543</v>
      </c>
      <c r="Q46" s="486" t="n">
        <f aca="false">IF(ISTEXT(H46),"",(B46*$B$7/100)+(C46*$C$7/100))</f>
        <v>2.01</v>
      </c>
      <c r="R46" s="487" t="n">
        <f aca="false">IF(OR(ISTEXT(H46),Q46=0),"",IF(Q46&lt;0.1,1,IF(Q46&lt;1,2,IF(Q46&lt;10,3,IF(Q46&lt;50,4,IF(Q46&gt;=50,5,""))))))</f>
        <v>3</v>
      </c>
      <c r="S46" s="487" t="n">
        <f aca="false">IF(ISERROR(R46*I46),0,R46*I46)</f>
        <v>30</v>
      </c>
      <c r="T46" s="487" t="n">
        <f aca="false">IF(ISERROR(R46*I46*J46),0,R46*I46*J46)</f>
        <v>30</v>
      </c>
      <c r="U46" s="499" t="n">
        <f aca="false">IF(ISERROR(R46*J46),0,R46*J46)</f>
        <v>3</v>
      </c>
      <c r="V46" s="488" t="str">
        <f aca="false">IF(AND(A46="",F46=0),"",IF(F46=0,"Il manque le(s) % de rec. !",""))</f>
        <v/>
      </c>
      <c r="W46" s="489"/>
      <c r="Y46" s="490" t="str">
        <f aca="false">IF(A46="new.cod","NEWCOD",IF(AND((Z46=""),ISTEXT(A46)),A46,IF(Z46="","",INDEX('liste reference'!$A$8:$A$904,Z46))))</f>
        <v>AGRSTO</v>
      </c>
      <c r="Z46" s="280" t="n">
        <f aca="false">IF(ISERROR(MATCH(A46,'liste reference'!$A$8:$A$904,0)),IF(ISERROR(MATCH(A46,'liste reference'!$B$8:$B$904,0)),"",(MATCH(A46,'liste reference'!$B$8:$B$904,0))),(MATCH(A46,'liste reference'!$A$8:$A$904,0)))</f>
        <v>514</v>
      </c>
      <c r="AA46" s="491" t="s">
        <v>2685</v>
      </c>
      <c r="AB46" s="492"/>
      <c r="AC46" s="492"/>
      <c r="BB46" s="280" t="n">
        <f aca="false">IF(A46="","",1)</f>
        <v>1</v>
      </c>
    </row>
    <row r="47" customFormat="false" ht="12.75" hidden="false" customHeight="false" outlineLevel="0" collapsed="false">
      <c r="A47" s="493" t="s">
        <v>1714</v>
      </c>
      <c r="B47" s="494" t="n">
        <v>0.005</v>
      </c>
      <c r="C47" s="495"/>
      <c r="D47" s="477" t="str">
        <f aca="false">IF(ISERROR(VLOOKUP($A47,'liste reference'!$A$7:$D$904,2,0)),IF(ISERROR(VLOOKUP($A47,'liste reference'!$B$7:$D$904,1,0)),"",VLOOKUP($A47,'liste reference'!$B$7:$D$904,1,0)),VLOOKUP($A47,'liste reference'!$A$7:$D$904,2,0))</f>
        <v>Alisma lanceolatum</v>
      </c>
      <c r="E47" s="496" t="e">
        <f aca="false">IF(D47="",0,VLOOKUP(D47,D$22:D46,1,0))</f>
        <v>#N/A</v>
      </c>
      <c r="F47" s="500" t="n">
        <f aca="false">($B47*$B$7+$C47*$C$7)/100</f>
        <v>0.00225</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9</v>
      </c>
      <c r="J47" s="481" t="n">
        <f aca="false">IF(ISNUMBER(H47),IF(ISERROR(VLOOKUP($A47,'liste reference'!$A$7:$P$904,4,0)),IF(ISERROR(VLOOKUP($A47,'liste reference'!$B$7:$P$904,3,0)),"",VLOOKUP($A47,'liste reference'!$B$7:$P$904,3,0)),VLOOKUP($A47,'liste reference'!$A$7:$P$904,4,0)),"")</f>
        <v>2</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Alisma lanceolatum</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1446</v>
      </c>
      <c r="Q47" s="486" t="n">
        <f aca="false">IF(ISTEXT(H47),"",(B47*$B$7/100)+(C47*$C$7/100))</f>
        <v>0.00225</v>
      </c>
      <c r="R47" s="487" t="n">
        <f aca="false">IF(OR(ISTEXT(H47),Q47=0),"",IF(Q47&lt;0.1,1,IF(Q47&lt;1,2,IF(Q47&lt;10,3,IF(Q47&lt;50,4,IF(Q47&gt;=50,5,""))))))</f>
        <v>1</v>
      </c>
      <c r="S47" s="487" t="n">
        <f aca="false">IF(ISERROR(R47*I47),0,R47*I47)</f>
        <v>9</v>
      </c>
      <c r="T47" s="487" t="n">
        <f aca="false">IF(ISERROR(R47*I47*J47),0,R47*I47*J47)</f>
        <v>18</v>
      </c>
      <c r="U47" s="499" t="n">
        <f aca="false">IF(ISERROR(R47*J47),0,R47*J47)</f>
        <v>2</v>
      </c>
      <c r="V47" s="488" t="str">
        <f aca="false">IF(AND(A47="",F47=0),"",IF(F47=0,"Il manque le(s) % de rec. !",""))</f>
        <v/>
      </c>
      <c r="W47" s="489"/>
      <c r="Y47" s="490" t="str">
        <f aca="false">IF(A47="new.cod","NEWCOD",IF(AND((Z47=""),ISTEXT(A47)),A47,IF(Z47="","",INDEX('liste reference'!$A$8:$A$904,Z47))))</f>
        <v>ALILAN</v>
      </c>
      <c r="Z47" s="280" t="n">
        <f aca="false">IF(ISERROR(MATCH(A47,'liste reference'!$A$8:$A$904,0)),IF(ISERROR(MATCH(A47,'liste reference'!$B$8:$B$904,0)),"",(MATCH(A47,'liste reference'!$B$8:$B$904,0))),(MATCH(A47,'liste reference'!$A$8:$A$904,0)))</f>
        <v>516</v>
      </c>
      <c r="AA47" s="491"/>
      <c r="AB47" s="492"/>
      <c r="AC47" s="492"/>
      <c r="BB47" s="280" t="n">
        <f aca="false">IF(A47="","",1)</f>
        <v>1</v>
      </c>
    </row>
    <row r="48" customFormat="false" ht="12.75" hidden="false" customHeight="false" outlineLevel="0" collapsed="false">
      <c r="A48" s="493" t="s">
        <v>1886</v>
      </c>
      <c r="B48" s="494"/>
      <c r="C48" s="495" t="n">
        <v>0.05</v>
      </c>
      <c r="D48" s="477" t="str">
        <f aca="false">IF(ISERROR(VLOOKUP($A48,'liste reference'!$A$7:$D$904,2,0)),IF(ISERROR(VLOOKUP($A48,'liste reference'!$B$7:$D$904,1,0)),"",VLOOKUP($A48,'liste reference'!$B$7:$D$904,1,0)),VLOOKUP($A48,'liste reference'!$A$7:$D$904,2,0))</f>
        <v>Isnardia palustris</v>
      </c>
      <c r="E48" s="496" t="e">
        <f aca="false">IF(D48="",0,VLOOKUP(D48,D$21:D47,1,0))</f>
        <v>#N/A</v>
      </c>
      <c r="F48" s="500" t="n">
        <f aca="false">($B48*$B$7+$C48*$C$7)/100</f>
        <v>0.0275</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0</v>
      </c>
      <c r="J48" s="481" t="n">
        <f aca="false">IF(ISNUMBER(H48),IF(ISERROR(VLOOKUP($A48,'liste reference'!$A$7:$P$904,4,0)),IF(ISERROR(VLOOKUP($A48,'liste reference'!$B$7:$P$904,3,0)),"",VLOOKUP($A48,'liste reference'!$B$7:$P$904,3,0)),VLOOKUP($A48,'liste reference'!$A$7:$P$904,4,0)),"")</f>
        <v>0</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Isnardia palustris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19798</v>
      </c>
      <c r="Q48" s="486" t="n">
        <f aca="false">IF(ISTEXT(H48),"",(B48*$B$7/100)+(C48*$C$7/100))</f>
        <v>0.0275</v>
      </c>
      <c r="R48" s="487" t="n">
        <f aca="false">IF(OR(ISTEXT(H48),Q48=0),"",IF(Q48&lt;0.1,1,IF(Q48&lt;1,2,IF(Q48&lt;10,3,IF(Q48&lt;50,4,IF(Q48&gt;=50,5,""))))))</f>
        <v>1</v>
      </c>
      <c r="S48" s="487" t="n">
        <f aca="false">IF(ISERROR(R48*I48),0,R48*I48)</f>
        <v>0</v>
      </c>
      <c r="T48" s="487" t="n">
        <f aca="false">IF(ISERROR(R48*I48*J48),0,R48*I48*J48)</f>
        <v>0</v>
      </c>
      <c r="U48" s="499" t="n">
        <f aca="false">IF(ISERROR(R48*J48),0,R48*J48)</f>
        <v>0</v>
      </c>
      <c r="V48" s="488" t="str">
        <f aca="false">IF(AND(A48="",F48=0),"",IF(F48=0,"Il manque le(s) % de rec. !",""))</f>
        <v/>
      </c>
      <c r="W48" s="489"/>
      <c r="X48" s="503"/>
      <c r="Y48" s="490" t="str">
        <f aca="false">IF(A48="new.cod","NEWCOD",IF(AND((Z48=""),ISTEXT(A48)),A48,IF(Z48="","",INDEX('liste reference'!$A$8:$A$904,Z48))))</f>
        <v>ISNPAL</v>
      </c>
      <c r="Z48" s="280" t="n">
        <f aca="false">IF(ISERROR(MATCH(A48,'liste reference'!$A$8:$A$904,0)),IF(ISERROR(MATCH(A48,'liste reference'!$B$8:$B$904,0)),"",(MATCH(A48,'liste reference'!$B$8:$B$904,0))),(MATCH(A48,'liste reference'!$A$8:$A$904,0)))</f>
        <v>584</v>
      </c>
      <c r="AA48" s="491"/>
      <c r="AB48" s="492"/>
      <c r="AC48" s="492"/>
      <c r="BB48" s="280" t="n">
        <f aca="false">IF(A48="","",1)</f>
        <v>1</v>
      </c>
    </row>
    <row r="49" customFormat="false" ht="12.75" hidden="false" customHeight="false" outlineLevel="0" collapsed="false">
      <c r="A49" s="493" t="s">
        <v>1913</v>
      </c>
      <c r="B49" s="494"/>
      <c r="C49" s="495" t="n">
        <v>0.005</v>
      </c>
      <c r="D49" s="477" t="str">
        <f aca="false">IF(ISERROR(VLOOKUP($A49,'liste reference'!$A$7:$D$904,2,0)),IF(ISERROR(VLOOKUP($A49,'liste reference'!$B$7:$D$904,1,0)),"",VLOOKUP($A49,'liste reference'!$B$7:$D$904,1,0)),VLOOKUP($A49,'liste reference'!$A$7:$D$904,2,0))</f>
        <v>Lycopus europaeus</v>
      </c>
      <c r="E49" s="496" t="e">
        <f aca="false">IF(D49="",0,VLOOKUP(D49,D$22:D48,1,0))</f>
        <v>#N/A</v>
      </c>
      <c r="F49" s="500" t="n">
        <f aca="false">($B49*$B$7+$C49*$C$7)/100</f>
        <v>0.00275</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11</v>
      </c>
      <c r="J49" s="481" t="n">
        <f aca="false">IF(ISNUMBER(H49),IF(ISERROR(VLOOKUP($A49,'liste reference'!$A$7:$P$904,4,0)),IF(ISERROR(VLOOKUP($A49,'liste reference'!$B$7:$P$904,3,0)),"",VLOOKUP($A49,'liste reference'!$B$7:$P$904,3,0)),VLOOKUP($A49,'liste reference'!$A$7:$P$904,4,0)),"")</f>
        <v>1</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Lycopus europaeus</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1789</v>
      </c>
      <c r="Q49" s="486" t="n">
        <f aca="false">IF(ISTEXT(H49),"",(B49*$B$7/100)+(C49*$C$7/100))</f>
        <v>0.00275</v>
      </c>
      <c r="R49" s="487" t="n">
        <f aca="false">IF(OR(ISTEXT(H49),Q49=0),"",IF(Q49&lt;0.1,1,IF(Q49&lt;1,2,IF(Q49&lt;10,3,IF(Q49&lt;50,4,IF(Q49&gt;=50,5,""))))))</f>
        <v>1</v>
      </c>
      <c r="S49" s="487" t="n">
        <f aca="false">IF(ISERROR(R49*I49),0,R49*I49)</f>
        <v>11</v>
      </c>
      <c r="T49" s="487" t="n">
        <f aca="false">IF(ISERROR(R49*I49*J49),0,R49*I49*J49)</f>
        <v>11</v>
      </c>
      <c r="U49" s="499" t="n">
        <f aca="false">IF(ISERROR(R49*J49),0,R49*J49)</f>
        <v>1</v>
      </c>
      <c r="V49" s="488" t="str">
        <f aca="false">IF(AND(A49="",F49=0),"",IF(F49=0,"Il manque le(s) % de rec. !",""))</f>
        <v/>
      </c>
      <c r="W49" s="489"/>
      <c r="Y49" s="490" t="str">
        <f aca="false">IF(A49="new.cod","NEWCOD",IF(AND((Z49=""),ISTEXT(A49)),A49,IF(Z49="","",INDEX('liste reference'!$A$8:$A$904,Z49))))</f>
        <v>LYCEUR</v>
      </c>
      <c r="Z49" s="280" t="n">
        <f aca="false">IF(ISERROR(MATCH(A49,'liste reference'!$A$8:$A$904,0)),IF(ISERROR(MATCH(A49,'liste reference'!$B$8:$B$904,0)),"",(MATCH(A49,'liste reference'!$B$8:$B$904,0))),(MATCH(A49,'liste reference'!$A$8:$A$904,0)))</f>
        <v>596</v>
      </c>
      <c r="AA49" s="491"/>
      <c r="AB49" s="492"/>
      <c r="AC49" s="492"/>
      <c r="BB49" s="280" t="n">
        <f aca="false">IF(A49="","",1)</f>
        <v>1</v>
      </c>
    </row>
    <row r="50" customFormat="false" ht="12.75" hidden="false" customHeight="false" outlineLevel="0" collapsed="false">
      <c r="A50" s="493" t="s">
        <v>1923</v>
      </c>
      <c r="B50" s="494" t="n">
        <v>0.005</v>
      </c>
      <c r="C50" s="495"/>
      <c r="D50" s="477" t="str">
        <f aca="false">IF(ISERROR(VLOOKUP($A50,'liste reference'!$A$7:$D$904,2,0)),IF(ISERROR(VLOOKUP($A50,'liste reference'!$B$7:$D$904,1,0)),"",VLOOKUP($A50,'liste reference'!$B$7:$D$904,1,0)),VLOOKUP($A50,'liste reference'!$A$7:$D$904,2,0))</f>
        <v>Lysimachia vulgaris</v>
      </c>
      <c r="E50" s="496" t="e">
        <f aca="false">IF(D50="",0,VLOOKUP(D50,D$22:D49,1,0))</f>
        <v>#N/A</v>
      </c>
      <c r="F50" s="500" t="n">
        <f aca="false">($B50*$B$7+$C50*$C$7)/100</f>
        <v>0.00225</v>
      </c>
      <c r="G50" s="479" t="str">
        <f aca="false">IF(A50="","",IF(ISERROR(VLOOKUP($A50,'liste reference'!$A$7:$P$904,13,0)),IF(ISERROR(VLOOKUP($A50,'liste reference'!$B$7:$P$904,12,0)),"    -",VLOOKUP($A50,'liste reference'!$B$7:$P$904,12,0)),VLOOKUP($A50,'liste reference'!$A$7:$P$904,13,0)))</f>
        <v>PHe</v>
      </c>
      <c r="H50" s="480" t="n">
        <f aca="false">IF(A50="","x",IF(ISERROR(VLOOKUP($A50,'liste reference'!$A$8:$P$904,14,0)),IF(ISERROR(VLOOKUP($A50,'liste reference'!$B$8:$P$904,13,0)),"x",VLOOKUP($A50,'liste reference'!$B$8:$P$904,13,0)),VLOOKUP($A50,'liste reference'!$A$8:$P$904,14,0)))</f>
        <v>8</v>
      </c>
      <c r="I50" s="481" t="n">
        <f aca="false">IF(ISNUMBER(H50),IF(ISERROR(VLOOKUP($A50,'liste reference'!$A$7:$P$904,3,0)),IF(ISERROR(VLOOKUP($A50,'liste reference'!$B$7:$P$904,2,0)),"",VLOOKUP($A50,'liste reference'!$B$7:$P$904,2,0)),VLOOKUP($A50,'liste reference'!$A$7:$P$904,3,0)),"")</f>
        <v>0</v>
      </c>
      <c r="J50" s="481" t="n">
        <f aca="false">IF(ISNUMBER(H50),IF(ISERROR(VLOOKUP($A50,'liste reference'!$A$7:$P$904,4,0)),IF(ISERROR(VLOOKUP($A50,'liste reference'!$B$7:$P$904,3,0)),"",VLOOKUP($A50,'liste reference'!$B$7:$P$904,3,0)),VLOOKUP($A50,'liste reference'!$A$7:$P$904,4,0)),"")</f>
        <v>0</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Lysimachia vulgaris</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1887</v>
      </c>
      <c r="Q50" s="486" t="n">
        <f aca="false">IF(ISTEXT(H50),"",(B50*$B$7/100)+(C50*$C$7/100))</f>
        <v>0.00225</v>
      </c>
      <c r="R50" s="487" t="n">
        <f aca="false">IF(OR(ISTEXT(H50),Q50=0),"",IF(Q50&lt;0.1,1,IF(Q50&lt;1,2,IF(Q50&lt;10,3,IF(Q50&lt;50,4,IF(Q50&gt;=50,5,""))))))</f>
        <v>1</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LYSVUL</v>
      </c>
      <c r="Z50" s="280" t="n">
        <f aca="false">IF(ISERROR(MATCH(A50,'liste reference'!$A$8:$A$904,0)),IF(ISERROR(MATCH(A50,'liste reference'!$B$8:$B$904,0)),"",(MATCH(A50,'liste reference'!$B$8:$B$904,0))),(MATCH(A50,'liste reference'!$A$8:$A$904,0)))</f>
        <v>601</v>
      </c>
      <c r="AA50" s="491"/>
      <c r="AB50" s="492"/>
      <c r="AC50" s="492"/>
      <c r="BB50" s="280" t="n">
        <f aca="false">IF(A50="","",1)</f>
        <v>1</v>
      </c>
    </row>
    <row r="51" customFormat="false" ht="12.75" hidden="false" customHeight="false" outlineLevel="0" collapsed="false">
      <c r="A51" s="493" t="s">
        <v>1932</v>
      </c>
      <c r="B51" s="494" t="n">
        <v>0.005</v>
      </c>
      <c r="C51" s="495"/>
      <c r="D51" s="477" t="str">
        <f aca="false">IF(ISERROR(VLOOKUP($A51,'liste reference'!$A$7:$D$904,2,0)),IF(ISERROR(VLOOKUP($A51,'liste reference'!$B$7:$D$904,1,0)),"",VLOOKUP($A51,'liste reference'!$B$7:$D$904,1,0)),VLOOKUP($A51,'liste reference'!$A$7:$D$904,2,0))</f>
        <v>Lythrum salicaria</v>
      </c>
      <c r="E51" s="496" t="e">
        <f aca="false">IF(D51="",0,VLOOKUP(D51,D$22:D50,1,0))</f>
        <v>#N/A</v>
      </c>
      <c r="F51" s="500" t="n">
        <f aca="false">($B51*$B$7+$C51*$C$7)/100</f>
        <v>0.00225</v>
      </c>
      <c r="G51" s="479" t="str">
        <f aca="false">IF(A51="","",IF(ISERROR(VLOOKUP($A51,'liste reference'!$A$7:$P$904,13,0)),IF(ISERROR(VLOOKUP($A51,'liste reference'!$B$7:$P$904,12,0)),"    -",VLOOKUP($A51,'liste reference'!$B$7:$P$904,12,0)),VLOOKUP($A51,'liste reference'!$A$7:$P$904,13,0)))</f>
        <v>PHe</v>
      </c>
      <c r="H51" s="480" t="n">
        <f aca="false">IF(A51="","x",IF(ISERROR(VLOOKUP($A51,'liste reference'!$A$8:$P$904,14,0)),IF(ISERROR(VLOOKUP($A51,'liste reference'!$B$8:$P$904,13,0)),"x",VLOOKUP($A51,'liste reference'!$B$8:$P$904,13,0)),VLOOKUP($A51,'liste reference'!$A$8:$P$904,14,0)))</f>
        <v>8</v>
      </c>
      <c r="I51" s="481" t="n">
        <f aca="false">IF(ISNUMBER(H51),IF(ISERROR(VLOOKUP($A51,'liste reference'!$A$7:$P$904,3,0)),IF(ISERROR(VLOOKUP($A51,'liste reference'!$B$7:$P$904,2,0)),"",VLOOKUP($A51,'liste reference'!$B$7:$P$904,2,0)),VLOOKUP($A51,'liste reference'!$A$7:$P$904,3,0)),"")</f>
        <v>0</v>
      </c>
      <c r="J51" s="481" t="n">
        <f aca="false">IF(ISNUMBER(H51),IF(ISERROR(VLOOKUP($A51,'liste reference'!$A$7:$P$904,4,0)),IF(ISERROR(VLOOKUP($A51,'liste reference'!$B$7:$P$904,3,0)),"",VLOOKUP($A51,'liste reference'!$B$7:$P$904,3,0)),VLOOKUP($A51,'liste reference'!$A$7:$P$904,4,0)),"")</f>
        <v>0</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Lythrum salicaria</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1823</v>
      </c>
      <c r="Q51" s="486" t="n">
        <f aca="false">IF(ISTEXT(H51),"",(B51*$B$7/100)+(C51*$C$7/100))</f>
        <v>0.00225</v>
      </c>
      <c r="R51" s="487" t="n">
        <f aca="false">IF(OR(ISTEXT(H51),Q51=0),"",IF(Q51&lt;0.1,1,IF(Q51&lt;1,2,IF(Q51&lt;10,3,IF(Q51&lt;50,4,IF(Q51&gt;=50,5,""))))))</f>
        <v>1</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LYTSAL</v>
      </c>
      <c r="Z51" s="280" t="n">
        <f aca="false">IF(ISERROR(MATCH(A51,'liste reference'!$A$8:$A$904,0)),IF(ISERROR(MATCH(A51,'liste reference'!$B$8:$B$904,0)),"",(MATCH(A51,'liste reference'!$B$8:$B$904,0))),(MATCH(A51,'liste reference'!$A$8:$A$904,0)))</f>
        <v>605</v>
      </c>
      <c r="AA51" s="491"/>
      <c r="AB51" s="492"/>
      <c r="AC51" s="492"/>
      <c r="BB51" s="280" t="n">
        <f aca="false">IF(A51="","",1)</f>
        <v>1</v>
      </c>
    </row>
    <row r="52" customFormat="false" ht="12.75" hidden="false" customHeight="false" outlineLevel="0" collapsed="false">
      <c r="A52" s="493" t="s">
        <v>1936</v>
      </c>
      <c r="B52" s="494" t="n">
        <v>0.1</v>
      </c>
      <c r="C52" s="495" t="n">
        <v>0.02</v>
      </c>
      <c r="D52" s="477" t="str">
        <f aca="false">IF(ISERROR(VLOOKUP($A52,'liste reference'!$A$7:$D$904,2,0)),IF(ISERROR(VLOOKUP($A52,'liste reference'!$B$7:$D$904,1,0)),"",VLOOKUP($A52,'liste reference'!$B$7:$D$904,1,0)),VLOOKUP($A52,'liste reference'!$A$7:$D$904,2,0))</f>
        <v>Mentha aquatica</v>
      </c>
      <c r="E52" s="496" t="e">
        <f aca="false">IF(D52="",0,VLOOKUP(D52,D$22:D51,1,0))</f>
        <v>#N/A</v>
      </c>
      <c r="F52" s="500" t="n">
        <f aca="false">($B52*$B$7+$C52*$C$7)/100</f>
        <v>0.056</v>
      </c>
      <c r="G52" s="479" t="str">
        <f aca="false">IF(A52="","",IF(ISERROR(VLOOKUP($A52,'liste reference'!$A$7:$P$904,13,0)),IF(ISERROR(VLOOKUP($A52,'liste reference'!$B$7:$P$904,12,0)),"    -",VLOOKUP($A52,'liste reference'!$B$7:$P$904,12,0)),VLOOKUP($A52,'liste reference'!$A$7:$P$904,13,0)))</f>
        <v>PHe</v>
      </c>
      <c r="H52" s="480" t="n">
        <f aca="false">IF(A52="","x",IF(ISERROR(VLOOKUP($A52,'liste reference'!$A$8:$P$904,14,0)),IF(ISERROR(VLOOKUP($A52,'liste reference'!$B$8:$P$904,13,0)),"x",VLOOKUP($A52,'liste reference'!$B$8:$P$904,13,0)),VLOOKUP($A52,'liste reference'!$A$8:$P$904,14,0)))</f>
        <v>8</v>
      </c>
      <c r="I52" s="481" t="n">
        <f aca="false">IF(ISNUMBER(H52),IF(ISERROR(VLOOKUP($A52,'liste reference'!$A$7:$P$904,3,0)),IF(ISERROR(VLOOKUP($A52,'liste reference'!$B$7:$P$904,2,0)),"",VLOOKUP($A52,'liste reference'!$B$7:$P$904,2,0)),VLOOKUP($A52,'liste reference'!$A$7:$P$904,3,0)),"")</f>
        <v>12</v>
      </c>
      <c r="J52" s="481" t="n">
        <f aca="false">IF(ISNUMBER(H52),IF(ISERROR(VLOOKUP($A52,'liste reference'!$A$7:$P$904,4,0)),IF(ISERROR(VLOOKUP($A52,'liste reference'!$B$7:$P$904,3,0)),"",VLOOKUP($A52,'liste reference'!$B$7:$P$904,3,0)),VLOOKUP($A52,'liste reference'!$A$7:$P$904,4,0)),"")</f>
        <v>1</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Mentha aquatica</v>
      </c>
      <c r="L52" s="498"/>
      <c r="M52" s="498"/>
      <c r="N52" s="498"/>
      <c r="O52" s="484" t="s">
        <v>2685</v>
      </c>
      <c r="P52" s="485" t="n">
        <f aca="false">IF($A52="NEWCOD",IF($AC52="","No",$AC52),IF(ISTEXT($E52),"DEJA SAISI !",IF($A52="","",IF(ISERROR(VLOOKUP($A52,'liste reference'!A:S,19,FALSE())),IF(ISERROR(VLOOKUP($A52,'liste reference'!B:S,19,FALSE())),"",VLOOKUP($A52,'liste reference'!B:S,19,FALSE())),VLOOKUP($A52,'liste reference'!A:S,19,FALSE())))))</f>
        <v>1791</v>
      </c>
      <c r="Q52" s="486" t="n">
        <f aca="false">IF(ISTEXT(H52),"",(B52*$B$7/100)+(C52*$C$7/100))</f>
        <v>0.056</v>
      </c>
      <c r="R52" s="487" t="n">
        <f aca="false">IF(OR(ISTEXT(H52),Q52=0),"",IF(Q52&lt;0.1,1,IF(Q52&lt;1,2,IF(Q52&lt;10,3,IF(Q52&lt;50,4,IF(Q52&gt;=50,5,""))))))</f>
        <v>1</v>
      </c>
      <c r="S52" s="487" t="n">
        <f aca="false">IF(ISERROR(R52*I52),0,R52*I52)</f>
        <v>12</v>
      </c>
      <c r="T52" s="487" t="n">
        <f aca="false">IF(ISERROR(R52*I52*J52),0,R52*I52*J52)</f>
        <v>12</v>
      </c>
      <c r="U52" s="499" t="n">
        <f aca="false">IF(ISERROR(R52*J52),0,R52*J52)</f>
        <v>1</v>
      </c>
      <c r="V52" s="488" t="str">
        <f aca="false">IF(AND(A52="",F52=0),"",IF(F52=0,"Il manque le(s) % de rec. !",""))</f>
        <v/>
      </c>
      <c r="W52" s="489"/>
      <c r="Y52" s="490" t="str">
        <f aca="false">IF(A52="new.cod","NEWCOD",IF(AND((Z52=""),ISTEXT(A52)),A52,IF(Z52="","",INDEX('liste reference'!$A$8:$A$904,Z52))))</f>
        <v>MENAQU</v>
      </c>
      <c r="Z52" s="280" t="n">
        <f aca="false">IF(ISERROR(MATCH(A52,'liste reference'!$A$8:$A$904,0)),IF(ISERROR(MATCH(A52,'liste reference'!$B$8:$B$904,0)),"",(MATCH(A52,'liste reference'!$B$8:$B$904,0))),(MATCH(A52,'liste reference'!$A$8:$A$904,0)))</f>
        <v>607</v>
      </c>
      <c r="AA52" s="491" t="s">
        <v>2685</v>
      </c>
      <c r="AB52" s="492"/>
      <c r="AC52" s="492"/>
      <c r="BB52" s="280" t="n">
        <f aca="false">IF(A52="","",1)</f>
        <v>1</v>
      </c>
    </row>
    <row r="53" customFormat="false" ht="12.75" hidden="false" customHeight="false" outlineLevel="0" collapsed="false">
      <c r="A53" s="493" t="s">
        <v>1984</v>
      </c>
      <c r="B53" s="494" t="n">
        <v>0.02</v>
      </c>
      <c r="C53" s="495" t="n">
        <v>0.05</v>
      </c>
      <c r="D53" s="477" t="str">
        <f aca="false">IF(ISERROR(VLOOKUP($A53,'liste reference'!$A$7:$D$904,2,0)),IF(ISERROR(VLOOKUP($A53,'liste reference'!$B$7:$D$904,1,0)),"",VLOOKUP($A53,'liste reference'!$B$7:$D$904,1,0)),VLOOKUP($A53,'liste reference'!$A$7:$D$904,2,0))</f>
        <v>Nasturtium officinale</v>
      </c>
      <c r="E53" s="496" t="e">
        <f aca="false">IF(D53="",0,VLOOKUP(D53,D$22:D52,1,0))</f>
        <v>#N/A</v>
      </c>
      <c r="F53" s="500" t="n">
        <f aca="false">($B53*$B$7+$C53*$C$7)/100</f>
        <v>0.0365</v>
      </c>
      <c r="G53" s="479" t="str">
        <f aca="false">IF(A53="","",IF(ISERROR(VLOOKUP($A53,'liste reference'!$A$7:$P$904,13,0)),IF(ISERROR(VLOOKUP($A53,'liste reference'!$B$7:$P$904,12,0)),"    -",VLOOKUP($A53,'liste reference'!$B$7:$P$904,12,0)),VLOOKUP($A53,'liste reference'!$A$7:$P$904,13,0)))</f>
        <v>PHe</v>
      </c>
      <c r="H53" s="480" t="n">
        <f aca="false">IF(A53="","x",IF(ISERROR(VLOOKUP($A53,'liste reference'!$A$8:$P$904,14,0)),IF(ISERROR(VLOOKUP($A53,'liste reference'!$B$8:$P$904,13,0)),"x",VLOOKUP($A53,'liste reference'!$B$8:$P$904,13,0)),VLOOKUP($A53,'liste reference'!$A$8:$P$904,14,0)))</f>
        <v>8</v>
      </c>
      <c r="I53" s="481" t="n">
        <f aca="false">IF(ISNUMBER(H53),IF(ISERROR(VLOOKUP($A53,'liste reference'!$A$7:$P$904,3,0)),IF(ISERROR(VLOOKUP($A53,'liste reference'!$B$7:$P$904,2,0)),"",VLOOKUP($A53,'liste reference'!$B$7:$P$904,2,0)),VLOOKUP($A53,'liste reference'!$A$7:$P$904,3,0)),"")</f>
        <v>11</v>
      </c>
      <c r="J53" s="481" t="n">
        <f aca="false">IF(ISNUMBER(H53),IF(ISERROR(VLOOKUP($A53,'liste reference'!$A$7:$P$904,4,0)),IF(ISERROR(VLOOKUP($A53,'liste reference'!$B$7:$P$904,3,0)),"",VLOOKUP($A53,'liste reference'!$B$7:$P$904,3,0)),VLOOKUP($A53,'liste reference'!$A$7:$P$904,4,0)),"")</f>
        <v>1</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Nasturtium officinale</v>
      </c>
      <c r="L53" s="498"/>
      <c r="M53" s="498"/>
      <c r="N53" s="498"/>
      <c r="O53" s="484"/>
      <c r="P53" s="485" t="n">
        <f aca="false">IF($A53="NEWCOD",IF($AC53="","No",$AC53),IF(ISTEXT($E53),"DEJA SAISI !",IF($A53="","",IF(ISERROR(VLOOKUP($A53,'liste reference'!A:S,19,FALSE())),IF(ISERROR(VLOOKUP($A53,'liste reference'!B:S,19,FALSE())),"",VLOOKUP($A53,'liste reference'!B:S,19,FALSE())),VLOOKUP($A53,'liste reference'!A:S,19,FALSE())))))</f>
        <v>1763</v>
      </c>
      <c r="Q53" s="486" t="n">
        <f aca="false">IF(ISTEXT(H53),"",(B53*$B$7/100)+(C53*$C$7/100))</f>
        <v>0.0365</v>
      </c>
      <c r="R53" s="487" t="n">
        <f aca="false">IF(OR(ISTEXT(H53),Q53=0),"",IF(Q53&lt;0.1,1,IF(Q53&lt;1,2,IF(Q53&lt;10,3,IF(Q53&lt;50,4,IF(Q53&gt;=50,5,""))))))</f>
        <v>1</v>
      </c>
      <c r="S53" s="487" t="n">
        <f aca="false">IF(ISERROR(R53*I53),0,R53*I53)</f>
        <v>11</v>
      </c>
      <c r="T53" s="487" t="n">
        <f aca="false">IF(ISERROR(R53*I53*J53),0,R53*I53*J53)</f>
        <v>11</v>
      </c>
      <c r="U53" s="499" t="n">
        <f aca="false">IF(ISERROR(R53*J53),0,R53*J53)</f>
        <v>1</v>
      </c>
      <c r="V53" s="488" t="str">
        <f aca="false">IF(AND(A53="",F53=0),"",IF(F53=0,"Il manque le(s) % de rec. !",""))</f>
        <v/>
      </c>
      <c r="W53" s="489"/>
      <c r="Y53" s="490" t="str">
        <f aca="false">IF(A53="new.cod","NEWCOD",IF(AND((Z53=""),ISTEXT(A53)),A53,IF(Z53="","",INDEX('liste reference'!$A$8:$A$904,Z53))))</f>
        <v>NASOFF</v>
      </c>
      <c r="Z53" s="280" t="n">
        <f aca="false">IF(ISERROR(MATCH(A53,'liste reference'!$A$8:$A$904,0)),IF(ISERROR(MATCH(A53,'liste reference'!$B$8:$B$904,0)),"",(MATCH(A53,'liste reference'!$B$8:$B$904,0))),(MATCH(A53,'liste reference'!$A$8:$A$904,0)))</f>
        <v>628</v>
      </c>
      <c r="AA53" s="491"/>
      <c r="AB53" s="492"/>
      <c r="AC53" s="492"/>
      <c r="BB53" s="280" t="n">
        <f aca="false">IF(A53="","",1)</f>
        <v>1</v>
      </c>
    </row>
    <row r="54" customFormat="false" ht="12.75" hidden="false" customHeight="false" outlineLevel="0" collapsed="false">
      <c r="A54" s="493" t="s">
        <v>2009</v>
      </c>
      <c r="B54" s="494" t="n">
        <v>0.005</v>
      </c>
      <c r="C54" s="495" t="n">
        <v>0.005</v>
      </c>
      <c r="D54" s="477" t="str">
        <f aca="false">IF(ISERROR(VLOOKUP($A54,'liste reference'!$A$7:$D$904,2,0)),IF(ISERROR(VLOOKUP($A54,'liste reference'!$B$7:$D$904,1,0)),"",VLOOKUP($A54,'liste reference'!$B$7:$D$904,1,0)),VLOOKUP($A54,'liste reference'!$A$7:$D$904,2,0))</f>
        <v>Polygonum hydropiper</v>
      </c>
      <c r="E54" s="496" t="e">
        <f aca="false">IF(D54="",0,VLOOKUP(D54,D$22:D53,1,0))</f>
        <v>#N/A</v>
      </c>
      <c r="F54" s="500" t="n">
        <f aca="false">($B54*$B$7+$C54*$C$7)/100</f>
        <v>0.005</v>
      </c>
      <c r="G54" s="479" t="str">
        <f aca="false">IF(A54="","",IF(ISERROR(VLOOKUP($A54,'liste reference'!$A$7:$P$904,13,0)),IF(ISERROR(VLOOKUP($A54,'liste reference'!$B$7:$P$904,12,0)),"    -",VLOOKUP($A54,'liste reference'!$B$7:$P$904,12,0)),VLOOKUP($A54,'liste reference'!$A$7:$P$904,13,0)))</f>
        <v>PHe</v>
      </c>
      <c r="H54" s="480" t="n">
        <f aca="false">IF(A54="","x",IF(ISERROR(VLOOKUP($A54,'liste reference'!$A$8:$P$904,14,0)),IF(ISERROR(VLOOKUP($A54,'liste reference'!$B$8:$P$904,13,0)),"x",VLOOKUP($A54,'liste reference'!$B$8:$P$904,13,0)),VLOOKUP($A54,'liste reference'!$A$8:$P$904,14,0)))</f>
        <v>8</v>
      </c>
      <c r="I54" s="481" t="n">
        <f aca="false">IF(ISNUMBER(H54),IF(ISERROR(VLOOKUP($A54,'liste reference'!$A$7:$P$904,3,0)),IF(ISERROR(VLOOKUP($A54,'liste reference'!$B$7:$P$904,2,0)),"",VLOOKUP($A54,'liste reference'!$B$7:$P$904,2,0)),VLOOKUP($A54,'liste reference'!$A$7:$P$904,3,0)),"")</f>
        <v>8</v>
      </c>
      <c r="J54" s="481" t="n">
        <f aca="false">IF(ISNUMBER(H54),IF(ISERROR(VLOOKUP($A54,'liste reference'!$A$7:$P$904,4,0)),IF(ISERROR(VLOOKUP($A54,'liste reference'!$B$7:$P$904,3,0)),"",VLOOKUP($A54,'liste reference'!$B$7:$P$904,3,0)),VLOOKUP($A54,'liste reference'!$A$7:$P$904,4,0)),"")</f>
        <v>2</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Polygonum hydropiper</v>
      </c>
      <c r="L54" s="498"/>
      <c r="M54" s="498"/>
      <c r="N54" s="498"/>
      <c r="O54" s="484" t="s">
        <v>2685</v>
      </c>
      <c r="P54" s="485" t="n">
        <f aca="false">IF($A54="NEWCOD",IF($AC54="","No",$AC54),IF(ISTEXT($E54),"DEJA SAISI !",IF($A54="","",IF(ISERROR(VLOOKUP($A54,'liste reference'!A:S,19,FALSE())),IF(ISERROR(VLOOKUP($A54,'liste reference'!B:S,19,FALSE())),"",VLOOKUP($A54,'liste reference'!B:S,19,FALSE())),VLOOKUP($A54,'liste reference'!A:S,19,FALSE())))))</f>
        <v>1865</v>
      </c>
      <c r="Q54" s="486" t="n">
        <f aca="false">IF(ISTEXT(H54),"",(B54*$B$7/100)+(C54*$C$7/100))</f>
        <v>0.005</v>
      </c>
      <c r="R54" s="487" t="n">
        <f aca="false">IF(OR(ISTEXT(H54),Q54=0),"",IF(Q54&lt;0.1,1,IF(Q54&lt;1,2,IF(Q54&lt;10,3,IF(Q54&lt;50,4,IF(Q54&gt;=50,5,""))))))</f>
        <v>1</v>
      </c>
      <c r="S54" s="487" t="n">
        <f aca="false">IF(ISERROR(R54*I54),0,R54*I54)</f>
        <v>8</v>
      </c>
      <c r="T54" s="487" t="n">
        <f aca="false">IF(ISERROR(R54*I54*J54),0,R54*I54*J54)</f>
        <v>16</v>
      </c>
      <c r="U54" s="499" t="n">
        <f aca="false">IF(ISERROR(R54*J54),0,R54*J54)</f>
        <v>2</v>
      </c>
      <c r="V54" s="488" t="str">
        <f aca="false">IF(AND(A54="",F54=0),"",IF(F54=0,"Il manque le(s) % de rec. !",""))</f>
        <v/>
      </c>
      <c r="W54" s="489"/>
      <c r="Y54" s="490" t="str">
        <f aca="false">IF(A54="new.cod","NEWCOD",IF(AND((Z54=""),ISTEXT(A54)),A54,IF(Z54="","",INDEX('liste reference'!$A$8:$A$904,Z54))))</f>
        <v>POLHYD</v>
      </c>
      <c r="Z54" s="280" t="n">
        <f aca="false">IF(ISERROR(MATCH(A54,'liste reference'!$A$8:$A$904,0)),IF(ISERROR(MATCH(A54,'liste reference'!$B$8:$B$904,0)),"",(MATCH(A54,'liste reference'!$B$8:$B$904,0))),(MATCH(A54,'liste reference'!$A$8:$A$904,0)))</f>
        <v>637</v>
      </c>
      <c r="AA54" s="491" t="s">
        <v>2685</v>
      </c>
      <c r="AB54" s="492"/>
      <c r="AC54" s="492"/>
      <c r="BB54" s="280" t="n">
        <f aca="false">IF(A54="","",1)</f>
        <v>1</v>
      </c>
    </row>
    <row r="55" customFormat="false" ht="12.75" hidden="false" customHeight="false" outlineLevel="0" collapsed="false">
      <c r="A55" s="493" t="s">
        <v>2080</v>
      </c>
      <c r="B55" s="494" t="n">
        <v>1.6</v>
      </c>
      <c r="C55" s="495" t="n">
        <v>0.35</v>
      </c>
      <c r="D55" s="477" t="str">
        <f aca="false">IF(ISERROR(VLOOKUP($A55,'liste reference'!$A$7:$D$904,2,0)),IF(ISERROR(VLOOKUP($A55,'liste reference'!$B$7:$D$904,1,0)),"",VLOOKUP($A55,'liste reference'!$B$7:$D$904,1,0)),VLOOKUP($A55,'liste reference'!$A$7:$D$904,2,0))</f>
        <v>Sparganium erectum</v>
      </c>
      <c r="E55" s="496" t="e">
        <f aca="false">IF(D55="",0,VLOOKUP(D55,D$22:D54,1,0))</f>
        <v>#N/A</v>
      </c>
      <c r="F55" s="500" t="n">
        <f aca="false">($B55*$B$7+$C55*$C$7)/100</f>
        <v>0.9125</v>
      </c>
      <c r="G55" s="479" t="str">
        <f aca="false">IF(A55="","",IF(ISERROR(VLOOKUP($A55,'liste reference'!$A$7:$P$904,13,0)),IF(ISERROR(VLOOKUP($A55,'liste reference'!$B$7:$P$904,12,0)),"    -",VLOOKUP($A55,'liste reference'!$B$7:$P$904,12,0)),VLOOKUP($A55,'liste reference'!$A$7:$P$904,13,0)))</f>
        <v>PHe</v>
      </c>
      <c r="H55" s="480" t="n">
        <f aca="false">IF(A55="","x",IF(ISERROR(VLOOKUP($A55,'liste reference'!$A$8:$P$904,14,0)),IF(ISERROR(VLOOKUP($A55,'liste reference'!$B$8:$P$904,13,0)),"x",VLOOKUP($A55,'liste reference'!$B$8:$P$904,13,0)),VLOOKUP($A55,'liste reference'!$A$8:$P$904,14,0)))</f>
        <v>8</v>
      </c>
      <c r="I55" s="481" t="n">
        <f aca="false">IF(ISNUMBER(H55),IF(ISERROR(VLOOKUP($A55,'liste reference'!$A$7:$P$904,3,0)),IF(ISERROR(VLOOKUP($A55,'liste reference'!$B$7:$P$904,2,0)),"",VLOOKUP($A55,'liste reference'!$B$7:$P$904,2,0)),VLOOKUP($A55,'liste reference'!$A$7:$P$904,3,0)),"")</f>
        <v>10</v>
      </c>
      <c r="J55" s="481" t="n">
        <f aca="false">IF(ISNUMBER(H55),IF(ISERROR(VLOOKUP($A55,'liste reference'!$A$7:$P$904,4,0)),IF(ISERROR(VLOOKUP($A55,'liste reference'!$B$7:$P$904,3,0)),"",VLOOKUP($A55,'liste reference'!$B$7:$P$904,3,0)),VLOOKUP($A55,'liste reference'!$A$7:$P$904,4,0)),"")</f>
        <v>1</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Sparganium erectum</v>
      </c>
      <c r="L55" s="498"/>
      <c r="M55" s="498"/>
      <c r="N55" s="498"/>
      <c r="O55" s="484"/>
      <c r="P55" s="485" t="n">
        <f aca="false">IF($A55="NEWCOD",IF($AC55="","No",$AC55),IF(ISTEXT($E55),"DEJA SAISI !",IF($A55="","",IF(ISERROR(VLOOKUP($A55,'liste reference'!A:S,19,FALSE())),IF(ISERROR(VLOOKUP($A55,'liste reference'!B:S,19,FALSE())),"",VLOOKUP($A55,'liste reference'!B:S,19,FALSE())),VLOOKUP($A55,'liste reference'!A:S,19,FALSE())))))</f>
        <v>1671</v>
      </c>
      <c r="Q55" s="486" t="n">
        <f aca="false">IF(ISTEXT(H55),"",(B55*$B$7/100)+(C55*$C$7/100))</f>
        <v>0.9125</v>
      </c>
      <c r="R55" s="487" t="n">
        <f aca="false">IF(OR(ISTEXT(H55),Q55=0),"",IF(Q55&lt;0.1,1,IF(Q55&lt;1,2,IF(Q55&lt;10,3,IF(Q55&lt;50,4,IF(Q55&gt;=50,5,""))))))</f>
        <v>2</v>
      </c>
      <c r="S55" s="487" t="n">
        <f aca="false">IF(ISERROR(R55*I55),0,R55*I55)</f>
        <v>20</v>
      </c>
      <c r="T55" s="487" t="n">
        <f aca="false">IF(ISERROR(R55*I55*J55),0,R55*I55*J55)</f>
        <v>20</v>
      </c>
      <c r="U55" s="499" t="n">
        <f aca="false">IF(ISERROR(R55*J55),0,R55*J55)</f>
        <v>2</v>
      </c>
      <c r="V55" s="488" t="str">
        <f aca="false">IF(AND(A55="",F55=0),"",IF(F55=0,"Il manque le(s) % de rec. !",""))</f>
        <v/>
      </c>
      <c r="W55" s="489"/>
      <c r="Y55" s="490" t="str">
        <f aca="false">IF(A55="new.cod","NEWCOD",IF(AND((Z55=""),ISTEXT(A55)),A55,IF(Z55="","",INDEX('liste reference'!$A$8:$A$904,Z55))))</f>
        <v>SPAERE</v>
      </c>
      <c r="Z55" s="280" t="n">
        <f aca="false">IF(ISERROR(MATCH(A55,'liste reference'!$A$8:$A$904,0)),IF(ISERROR(MATCH(A55,'liste reference'!$B$8:$B$904,0)),"",(MATCH(A55,'liste reference'!$B$8:$B$904,0))),(MATCH(A55,'liste reference'!$A$8:$A$904,0)))</f>
        <v>668</v>
      </c>
      <c r="AA55" s="491"/>
      <c r="AB55" s="492"/>
      <c r="AC55" s="492"/>
      <c r="BB55" s="280" t="n">
        <f aca="false">IF(A55="","",1)</f>
        <v>1</v>
      </c>
    </row>
    <row r="56" customFormat="false" ht="12.75" hidden="false" customHeight="false" outlineLevel="0" collapsed="false">
      <c r="A56" s="493" t="s">
        <v>2098</v>
      </c>
      <c r="B56" s="494" t="n">
        <v>0.1</v>
      </c>
      <c r="C56" s="495"/>
      <c r="D56" s="477" t="str">
        <f aca="false">IF(ISERROR(VLOOKUP($A56,'liste reference'!$A$7:$D$904,2,0)),IF(ISERROR(VLOOKUP($A56,'liste reference'!$B$7:$D$904,1,0)),"",VLOOKUP($A56,'liste reference'!$B$7:$D$904,1,0)),VLOOKUP($A56,'liste reference'!$A$7:$D$904,2,0))</f>
        <v>Typha latifolia</v>
      </c>
      <c r="E56" s="496" t="e">
        <f aca="false">IF(D56="",0,VLOOKUP(D56,D$22:D48,1,0))</f>
        <v>#N/A</v>
      </c>
      <c r="F56" s="500" t="n">
        <f aca="false">($B56*$B$7+$C56*$C$7)/100</f>
        <v>0.045</v>
      </c>
      <c r="G56" s="479" t="str">
        <f aca="false">IF(A56="","",IF(ISERROR(VLOOKUP($A56,'liste reference'!$A$7:$P$904,13,0)),IF(ISERROR(VLOOKUP($A56,'liste reference'!$B$7:$P$904,12,0)),"    -",VLOOKUP($A56,'liste reference'!$B$7:$P$904,12,0)),VLOOKUP($A56,'liste reference'!$A$7:$P$904,13,0)))</f>
        <v>PHe</v>
      </c>
      <c r="H56" s="480" t="n">
        <f aca="false">IF(A56="","x",IF(ISERROR(VLOOKUP($A56,'liste reference'!$A$8:$P$904,14,0)),IF(ISERROR(VLOOKUP($A56,'liste reference'!$B$8:$P$904,13,0)),"x",VLOOKUP($A56,'liste reference'!$B$8:$P$904,13,0)),VLOOKUP($A56,'liste reference'!$A$8:$P$904,14,0)))</f>
        <v>8</v>
      </c>
      <c r="I56" s="481" t="n">
        <f aca="false">IF(ISNUMBER(H56),IF(ISERROR(VLOOKUP($A56,'liste reference'!$A$7:$P$904,3,0)),IF(ISERROR(VLOOKUP($A56,'liste reference'!$B$7:$P$904,2,0)),"",VLOOKUP($A56,'liste reference'!$B$7:$P$904,2,0)),VLOOKUP($A56,'liste reference'!$A$7:$P$904,3,0)),"")</f>
        <v>8</v>
      </c>
      <c r="J56" s="481" t="n">
        <f aca="false">IF(ISNUMBER(H56),IF(ISERROR(VLOOKUP($A56,'liste reference'!$A$7:$P$904,4,0)),IF(ISERROR(VLOOKUP($A56,'liste reference'!$B$7:$P$904,3,0)),"",VLOOKUP($A56,'liste reference'!$B$7:$P$904,3,0)),VLOOKUP($A56,'liste reference'!$A$7:$P$904,4,0)),"")</f>
        <v>1</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Typha latifolia</v>
      </c>
      <c r="L56" s="498"/>
      <c r="M56" s="498"/>
      <c r="N56" s="498"/>
      <c r="O56" s="484"/>
      <c r="P56" s="485" t="n">
        <f aca="false">IF($A56="NEWCOD",IF($AC56="","No",$AC56),IF(ISTEXT($E56),"DEJA SAISI !",IF($A56="","",IF(ISERROR(VLOOKUP($A56,'liste reference'!A:S,19,FALSE())),IF(ISERROR(VLOOKUP($A56,'liste reference'!B:S,19,FALSE())),"",VLOOKUP($A56,'liste reference'!B:S,19,FALSE())),VLOOKUP($A56,'liste reference'!A:S,19,FALSE())))))</f>
        <v>1676</v>
      </c>
      <c r="Q56" s="486" t="n">
        <f aca="false">IF(ISTEXT(H56),"",(B56*$B$7/100)+(C56*$C$7/100))</f>
        <v>0.045</v>
      </c>
      <c r="R56" s="487" t="n">
        <f aca="false">IF(OR(ISTEXT(H56),Q56=0),"",IF(Q56&lt;0.1,1,IF(Q56&lt;1,2,IF(Q56&lt;10,3,IF(Q56&lt;50,4,IF(Q56&gt;=50,5,""))))))</f>
        <v>1</v>
      </c>
      <c r="S56" s="487" t="n">
        <f aca="false">IF(ISERROR(R56*I56),0,R56*I56)</f>
        <v>8</v>
      </c>
      <c r="T56" s="487" t="n">
        <f aca="false">IF(ISERROR(R56*I56*J56),0,R56*I56*J56)</f>
        <v>8</v>
      </c>
      <c r="U56" s="499" t="n">
        <f aca="false">IF(ISERROR(R56*J56),0,R56*J56)</f>
        <v>1</v>
      </c>
      <c r="V56" s="488" t="str">
        <f aca="false">IF(AND(A56="",F56=0),"",IF(F56=0,"Il manque le(s) % de rec. !",""))</f>
        <v/>
      </c>
      <c r="W56" s="489"/>
      <c r="Y56" s="490" t="str">
        <f aca="false">IF(A56="new.cod","NEWCOD",IF(AND((Z56=""),ISTEXT(A56)),A56,IF(Z56="","",INDEX('liste reference'!$A$8:$A$904,Z56))))</f>
        <v>TYPLAT</v>
      </c>
      <c r="Z56" s="280" t="n">
        <f aca="false">IF(ISERROR(MATCH(A56,'liste reference'!$A$8:$A$904,0)),IF(ISERROR(MATCH(A56,'liste reference'!$B$8:$B$904,0)),"",(MATCH(A56,'liste reference'!$B$8:$B$904,0))),(MATCH(A56,'liste reference'!$A$8:$A$904,0)))</f>
        <v>677</v>
      </c>
      <c r="AA56" s="491"/>
      <c r="AB56" s="492"/>
      <c r="AC56" s="492"/>
      <c r="BB56" s="280" t="n">
        <f aca="false">IF(A56="","",1)</f>
        <v>1</v>
      </c>
    </row>
    <row r="57" customFormat="false" ht="12.75" hidden="false" customHeight="false" outlineLevel="0" collapsed="false">
      <c r="A57" s="493" t="s">
        <v>2109</v>
      </c>
      <c r="B57" s="494" t="n">
        <v>0.2</v>
      </c>
      <c r="C57" s="495" t="n">
        <v>0.03</v>
      </c>
      <c r="D57" s="477" t="str">
        <f aca="false">IF(ISERROR(VLOOKUP($A57,'liste reference'!$A$7:$D$904,2,0)),IF(ISERROR(VLOOKUP($A57,'liste reference'!$B$7:$D$904,1,0)),"",VLOOKUP($A57,'liste reference'!$B$7:$D$904,1,0)),VLOOKUP($A57,'liste reference'!$A$7:$D$904,2,0))</f>
        <v>Veronica anagallis-aquatica</v>
      </c>
      <c r="E57" s="496" t="e">
        <f aca="false">IF(D57="",0,VLOOKUP(D57,D$22:D56,1,0))</f>
        <v>#N/A</v>
      </c>
      <c r="F57" s="500" t="n">
        <f aca="false">($B57*$B$7+$C57*$C$7)/100</f>
        <v>0.1065</v>
      </c>
      <c r="G57" s="479" t="str">
        <f aca="false">IF(A57="","",IF(ISERROR(VLOOKUP($A57,'liste reference'!$A$7:$P$904,13,0)),IF(ISERROR(VLOOKUP($A57,'liste reference'!$B$7:$P$904,12,0)),"    -",VLOOKUP($A57,'liste reference'!$B$7:$P$904,12,0)),VLOOKUP($A57,'liste reference'!$A$7:$P$904,13,0)))</f>
        <v>PHe</v>
      </c>
      <c r="H57" s="480" t="n">
        <f aca="false">IF(A57="","x",IF(ISERROR(VLOOKUP($A57,'liste reference'!$A$8:$P$904,14,0)),IF(ISERROR(VLOOKUP($A57,'liste reference'!$B$8:$P$904,13,0)),"x",VLOOKUP($A57,'liste reference'!$B$8:$P$904,13,0)),VLOOKUP($A57,'liste reference'!$A$8:$P$904,14,0)))</f>
        <v>8</v>
      </c>
      <c r="I57" s="481" t="n">
        <f aca="false">IF(ISNUMBER(H57),IF(ISERROR(VLOOKUP($A57,'liste reference'!$A$7:$P$904,3,0)),IF(ISERROR(VLOOKUP($A57,'liste reference'!$B$7:$P$904,2,0)),"",VLOOKUP($A57,'liste reference'!$B$7:$P$904,2,0)),VLOOKUP($A57,'liste reference'!$A$7:$P$904,3,0)),"")</f>
        <v>11</v>
      </c>
      <c r="J57" s="481" t="n">
        <f aca="false">IF(ISNUMBER(H57),IF(ISERROR(VLOOKUP($A57,'liste reference'!$A$7:$P$904,4,0)),IF(ISERROR(VLOOKUP($A57,'liste reference'!$B$7:$P$904,3,0)),"",VLOOKUP($A57,'liste reference'!$B$7:$P$904,3,0)),VLOOKUP($A57,'liste reference'!$A$7:$P$904,4,0)),"")</f>
        <v>2</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Veronica anagallis-aquatica</v>
      </c>
      <c r="L57" s="498"/>
      <c r="M57" s="498"/>
      <c r="N57" s="498"/>
      <c r="O57" s="484"/>
      <c r="P57" s="485" t="n">
        <f aca="false">IF($A57="NEWCOD",IF($AC57="","No",$AC57),IF(ISTEXT($E57),"DEJA SAISI !",IF($A57="","",IF(ISERROR(VLOOKUP($A57,'liste reference'!A:S,19,FALSE())),IF(ISERROR(VLOOKUP($A57,'liste reference'!B:S,19,FALSE())),"",VLOOKUP($A57,'liste reference'!B:S,19,FALSE())),VLOOKUP($A57,'liste reference'!A:S,19,FALSE())))))</f>
        <v>1955</v>
      </c>
      <c r="Q57" s="486" t="n">
        <f aca="false">IF(ISTEXT(H57),"",(B57*$B$7/100)+(C57*$C$7/100))</f>
        <v>0.1065</v>
      </c>
      <c r="R57" s="487" t="n">
        <f aca="false">IF(OR(ISTEXT(H57),Q57=0),"",IF(Q57&lt;0.1,1,IF(Q57&lt;1,2,IF(Q57&lt;10,3,IF(Q57&lt;50,4,IF(Q57&gt;=50,5,""))))))</f>
        <v>2</v>
      </c>
      <c r="S57" s="487" t="n">
        <f aca="false">IF(ISERROR(R57*I57),0,R57*I57)</f>
        <v>22</v>
      </c>
      <c r="T57" s="487" t="n">
        <f aca="false">IF(ISERROR(R57*I57*J57),0,R57*I57*J57)</f>
        <v>44</v>
      </c>
      <c r="U57" s="499" t="n">
        <f aca="false">IF(ISERROR(R57*J57),0,R57*J57)</f>
        <v>4</v>
      </c>
      <c r="V57" s="488" t="str">
        <f aca="false">IF(AND(A57="",F57=0),"",IF(F57=0,"Il manque le(s) % de rec. !",""))</f>
        <v/>
      </c>
      <c r="W57" s="504"/>
      <c r="Y57" s="490" t="str">
        <f aca="false">IF(A57="new.cod","NEWCOD",IF(AND((Z57=""),ISTEXT(A57)),A57,IF(Z57="","",INDEX('liste reference'!$A$8:$A$904,Z57))))</f>
        <v>VERANA</v>
      </c>
      <c r="Z57" s="280" t="n">
        <f aca="false">IF(ISERROR(MATCH(A57,'liste reference'!$A$8:$A$904,0)),IF(ISERROR(MATCH(A57,'liste reference'!$B$8:$B$904,0)),"",(MATCH(A57,'liste reference'!$B$8:$B$904,0))),(MATCH(A57,'liste reference'!$A$8:$A$904,0)))</f>
        <v>682</v>
      </c>
      <c r="AA57" s="491"/>
      <c r="AB57" s="492"/>
      <c r="AC57" s="492"/>
      <c r="BB57" s="280" t="n">
        <f aca="false">IF(A57="","",1)</f>
        <v>1</v>
      </c>
    </row>
    <row r="58" customFormat="false" ht="12.75" hidden="false" customHeight="false" outlineLevel="0" collapsed="false">
      <c r="A58" s="493" t="s">
        <v>2167</v>
      </c>
      <c r="B58" s="494"/>
      <c r="C58" s="495" t="n">
        <v>0.005</v>
      </c>
      <c r="D58" s="477" t="str">
        <f aca="false">IF(ISERROR(VLOOKUP($A58,'liste reference'!$A$7:$D$904,2,0)),IF(ISERROR(VLOOKUP($A58,'liste reference'!$B$7:$D$904,1,0)),"",VLOOKUP($A58,'liste reference'!$B$7:$D$904,1,0)),VLOOKUP($A58,'liste reference'!$A$7:$D$904,2,0))</f>
        <v>Calystegia sepium</v>
      </c>
      <c r="E58" s="496" t="e">
        <f aca="false">IF(D58="",0,VLOOKUP(D58,D$22:D57,1,0))</f>
        <v>#N/A</v>
      </c>
      <c r="F58" s="500" t="n">
        <f aca="false">($B58*$B$7+$C58*$C$7)/100</f>
        <v>0.00275</v>
      </c>
      <c r="G58" s="479" t="str">
        <f aca="false">IF(A58="","",IF(ISERROR(VLOOKUP($A58,'liste reference'!$A$7:$P$904,13,0)),IF(ISERROR(VLOOKUP($A58,'liste reference'!$B$7:$P$904,12,0)),"    -",VLOOKUP($A58,'liste reference'!$B$7:$P$904,12,0)),VLOOKUP($A58,'liste reference'!$A$7:$P$904,13,0)))</f>
        <v>PHg</v>
      </c>
      <c r="H58" s="480" t="n">
        <f aca="false">IF(A58="","x",IF(ISERROR(VLOOKUP($A58,'liste reference'!$A$8:$P$904,14,0)),IF(ISERROR(VLOOKUP($A58,'liste reference'!$B$8:$P$904,13,0)),"x",VLOOKUP($A58,'liste reference'!$B$8:$P$904,13,0)),VLOOKUP($A58,'liste reference'!$A$8:$P$904,14,0)))</f>
        <v>9</v>
      </c>
      <c r="I58" s="481" t="n">
        <f aca="false">IF(ISNUMBER(H58),IF(ISERROR(VLOOKUP($A58,'liste reference'!$A$7:$P$904,3,0)),IF(ISERROR(VLOOKUP($A58,'liste reference'!$B$7:$P$904,2,0)),"",VLOOKUP($A58,'liste reference'!$B$7:$P$904,2,0)),VLOOKUP($A58,'liste reference'!$A$7:$P$904,3,0)),"")</f>
        <v>0</v>
      </c>
      <c r="J58" s="481" t="n">
        <f aca="false">IF(ISNUMBER(H58),IF(ISERROR(VLOOKUP($A58,'liste reference'!$A$7:$P$904,4,0)),IF(ISERROR(VLOOKUP($A58,'liste reference'!$B$7:$P$904,3,0)),"",VLOOKUP($A58,'liste reference'!$B$7:$P$904,3,0)),VLOOKUP($A58,'liste reference'!$A$7:$P$904,4,0)),"")</f>
        <v>0</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Calystegia sepium</v>
      </c>
      <c r="L58" s="498"/>
      <c r="M58" s="498"/>
      <c r="N58" s="498"/>
      <c r="O58" s="484"/>
      <c r="P58" s="485" t="n">
        <f aca="false">IF($A58="NEWCOD",IF($AC58="","No",$AC58),IF(ISTEXT($E58),"DEJA SAISI !",IF($A58="","",IF(ISERROR(VLOOKUP($A58,'liste reference'!A:S,19,FALSE())),IF(ISERROR(VLOOKUP($A58,'liste reference'!B:S,19,FALSE())),"",VLOOKUP($A58,'liste reference'!B:S,19,FALSE())),VLOOKUP($A58,'liste reference'!A:S,19,FALSE())))))</f>
        <v>1731</v>
      </c>
      <c r="Q58" s="486" t="n">
        <f aca="false">IF(ISTEXT(H58),"",(B58*$B$7/100)+(C58*$C$7/100))</f>
        <v>0.00275</v>
      </c>
      <c r="R58" s="487" t="n">
        <f aca="false">IF(OR(ISTEXT(H58),Q58=0),"",IF(Q58&lt;0.1,1,IF(Q58&lt;1,2,IF(Q58&lt;10,3,IF(Q58&lt;50,4,IF(Q58&gt;=50,5,""))))))</f>
        <v>1</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CASSEP</v>
      </c>
      <c r="Z58" s="280" t="n">
        <f aca="false">IF(ISERROR(MATCH(A58,'liste reference'!$A$8:$A$904,0)),IF(ISERROR(MATCH(A58,'liste reference'!$B$8:$B$904,0)),"",(MATCH(A58,'liste reference'!$B$8:$B$904,0))),(MATCH(A58,'liste reference'!$A$8:$A$904,0)))</f>
        <v>706</v>
      </c>
      <c r="AA58" s="491"/>
      <c r="AB58" s="492"/>
      <c r="AC58" s="492"/>
      <c r="BB58" s="280" t="n">
        <f aca="false">IF(A58="","",1)</f>
        <v>1</v>
      </c>
    </row>
    <row r="59" customFormat="false" ht="12.75" hidden="false" customHeight="false" outlineLevel="0" collapsed="false">
      <c r="A59" s="493" t="s">
        <v>2202</v>
      </c>
      <c r="B59" s="494" t="n">
        <v>0.005</v>
      </c>
      <c r="C59" s="495" t="n">
        <v>0.005</v>
      </c>
      <c r="D59" s="477" t="str">
        <f aca="false">IF(ISERROR(VLOOKUP($A59,'liste reference'!$A$7:$D$904,2,0)),IF(ISERROR(VLOOKUP($A59,'liste reference'!$B$7:$D$904,1,0)),"",VLOOKUP($A59,'liste reference'!$B$7:$D$904,1,0)),VLOOKUP($A59,'liste reference'!$A$7:$D$904,2,0))</f>
        <v>Cyperus eragrostis</v>
      </c>
      <c r="E59" s="496" t="e">
        <f aca="false">IF(D59="",0,VLOOKUP(D59,D$22:D51,1,0))</f>
        <v>#N/A</v>
      </c>
      <c r="F59" s="500" t="n">
        <f aca="false">($B59*$B$7+$C59*$C$7)/100</f>
        <v>0.005</v>
      </c>
      <c r="G59" s="479" t="str">
        <f aca="false">IF(A59="","",IF(ISERROR(VLOOKUP($A59,'liste reference'!$A$7:$P$904,13,0)),IF(ISERROR(VLOOKUP($A59,'liste reference'!$B$7:$P$904,12,0)),"    -",VLOOKUP($A59,'liste reference'!$B$7:$P$904,12,0)),VLOOKUP($A59,'liste reference'!$A$7:$P$904,13,0)))</f>
        <v>PHg</v>
      </c>
      <c r="H59" s="480" t="n">
        <f aca="false">IF(A59="","x",IF(ISERROR(VLOOKUP($A59,'liste reference'!$A$8:$P$904,14,0)),IF(ISERROR(VLOOKUP($A59,'liste reference'!$B$8:$P$904,13,0)),"x",VLOOKUP($A59,'liste reference'!$B$8:$P$904,13,0)),VLOOKUP($A59,'liste reference'!$A$8:$P$904,14,0)))</f>
        <v>9</v>
      </c>
      <c r="I59" s="481" t="n">
        <f aca="false">IF(ISNUMBER(H59),IF(ISERROR(VLOOKUP($A59,'liste reference'!$A$7:$P$904,3,0)),IF(ISERROR(VLOOKUP($A59,'liste reference'!$B$7:$P$904,2,0)),"",VLOOKUP($A59,'liste reference'!$B$7:$P$904,2,0)),VLOOKUP($A59,'liste reference'!$A$7:$P$904,3,0)),"")</f>
        <v>0</v>
      </c>
      <c r="J59" s="481" t="n">
        <f aca="false">IF(ISNUMBER(H59),IF(ISERROR(VLOOKUP($A59,'liste reference'!$A$7:$P$904,4,0)),IF(ISERROR(VLOOKUP($A59,'liste reference'!$B$7:$P$904,3,0)),"",VLOOKUP($A59,'liste reference'!$B$7:$P$904,3,0)),VLOOKUP($A59,'liste reference'!$A$7:$P$904,4,0)),"")</f>
        <v>0</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Cyperus eragrostis</v>
      </c>
      <c r="L59" s="498"/>
      <c r="M59" s="498"/>
      <c r="N59" s="498"/>
      <c r="O59" s="484"/>
      <c r="P59" s="485" t="n">
        <f aca="false">IF($A59="NEWCOD",IF($AC59="","No",$AC59),IF(ISTEXT($E59),"DEJA SAISI !",IF($A59="","",IF(ISERROR(VLOOKUP($A59,'liste reference'!A:S,19,FALSE())),IF(ISERROR(VLOOKUP($A59,'liste reference'!B:S,19,FALSE())),"",VLOOKUP($A59,'liste reference'!B:S,19,FALSE())),VLOOKUP($A59,'liste reference'!A:S,19,FALSE())))))</f>
        <v>19611</v>
      </c>
      <c r="Q59" s="486" t="n">
        <f aca="false">IF(ISTEXT(H59),"",(B59*$B$7/100)+(C59*$C$7/100))</f>
        <v>0.005</v>
      </c>
      <c r="R59" s="487" t="n">
        <f aca="false">IF(OR(ISTEXT(H59),Q59=0),"",IF(Q59&lt;0.1,1,IF(Q59&lt;1,2,IF(Q59&lt;10,3,IF(Q59&lt;50,4,IF(Q59&gt;=50,5,""))))))</f>
        <v>1</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CYPERA</v>
      </c>
      <c r="Z59" s="280" t="n">
        <f aca="false">IF(ISERROR(MATCH(A59,'liste reference'!$A$8:$A$904,0)),IF(ISERROR(MATCH(A59,'liste reference'!$B$8:$B$904,0)),"",(MATCH(A59,'liste reference'!$B$8:$B$904,0))),(MATCH(A59,'liste reference'!$A$8:$A$904,0)))</f>
        <v>723</v>
      </c>
      <c r="AA59" s="491"/>
      <c r="AB59" s="492"/>
      <c r="AC59" s="492"/>
      <c r="BB59" s="280" t="n">
        <f aca="false">IF(A59="","",1)</f>
        <v>1</v>
      </c>
    </row>
    <row r="60" customFormat="false" ht="12.75" hidden="false" customHeight="false" outlineLevel="0" collapsed="false">
      <c r="A60" s="493" t="s">
        <v>2274</v>
      </c>
      <c r="B60" s="494"/>
      <c r="C60" s="495" t="n">
        <v>0.01</v>
      </c>
      <c r="D60" s="477" t="str">
        <f aca="false">IF(ISERROR(VLOOKUP($A60,'liste reference'!$A$7:$D$904,2,0)),IF(ISERROR(VLOOKUP($A60,'liste reference'!$B$7:$D$904,1,0)),"",VLOOKUP($A60,'liste reference'!$B$7:$D$904,1,0)),VLOOKUP($A60,'liste reference'!$A$7:$D$904,2,0))</f>
        <v>Galium palustre</v>
      </c>
      <c r="E60" s="496" t="e">
        <f aca="false">IF(D60="",0,VLOOKUP(D60,D$22:D59,1,0))</f>
        <v>#N/A</v>
      </c>
      <c r="F60" s="500" t="n">
        <f aca="false">($B60*$B$7+$C60*$C$7)/100</f>
        <v>0.0055</v>
      </c>
      <c r="G60" s="479" t="str">
        <f aca="false">IF(A60="","",IF(ISERROR(VLOOKUP($A60,'liste reference'!$A$7:$P$904,13,0)),IF(ISERROR(VLOOKUP($A60,'liste reference'!$B$7:$P$904,12,0)),"    -",VLOOKUP($A60,'liste reference'!$B$7:$P$904,12,0)),VLOOKUP($A60,'liste reference'!$A$7:$P$904,13,0)))</f>
        <v>PHg</v>
      </c>
      <c r="H60" s="480" t="n">
        <f aca="false">IF(A60="","x",IF(ISERROR(VLOOKUP($A60,'liste reference'!$A$8:$P$904,14,0)),IF(ISERROR(VLOOKUP($A60,'liste reference'!$B$8:$P$904,13,0)),"x",VLOOKUP($A60,'liste reference'!$B$8:$P$904,13,0)),VLOOKUP($A60,'liste reference'!$A$8:$P$904,14,0)))</f>
        <v>9</v>
      </c>
      <c r="I60" s="481" t="n">
        <f aca="false">IF(ISNUMBER(H60),IF(ISERROR(VLOOKUP($A60,'liste reference'!$A$7:$P$904,3,0)),IF(ISERROR(VLOOKUP($A60,'liste reference'!$B$7:$P$904,2,0)),"",VLOOKUP($A60,'liste reference'!$B$7:$P$904,2,0)),VLOOKUP($A60,'liste reference'!$A$7:$P$904,3,0)),"")</f>
        <v>0</v>
      </c>
      <c r="J60" s="481" t="n">
        <f aca="false">IF(ISNUMBER(H60),IF(ISERROR(VLOOKUP($A60,'liste reference'!$A$7:$P$904,4,0)),IF(ISERROR(VLOOKUP($A60,'liste reference'!$B$7:$P$904,3,0)),"",VLOOKUP($A60,'liste reference'!$B$7:$P$904,3,0)),VLOOKUP($A60,'liste reference'!$A$7:$P$904,4,0)),"")</f>
        <v>0</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Galium palustre</v>
      </c>
      <c r="L60" s="498"/>
      <c r="M60" s="498"/>
      <c r="N60" s="498"/>
      <c r="O60" s="484" t="s">
        <v>2685</v>
      </c>
      <c r="P60" s="485" t="n">
        <f aca="false">IF($A60="NEWCOD",IF($AC60="","No",$AC60),IF(ISTEXT($E60),"DEJA SAISI !",IF($A60="","",IF(ISERROR(VLOOKUP($A60,'liste reference'!A:S,19,FALSE())),IF(ISERROR(VLOOKUP($A60,'liste reference'!B:S,19,FALSE())),"",VLOOKUP($A60,'liste reference'!B:S,19,FALSE())),VLOOKUP($A60,'liste reference'!A:S,19,FALSE())))))</f>
        <v>1930</v>
      </c>
      <c r="Q60" s="486" t="n">
        <f aca="false">IF(ISTEXT(H60),"",(B60*$B$7/100)+(C60*$C$7/100))</f>
        <v>0.0055</v>
      </c>
      <c r="R60" s="487" t="n">
        <f aca="false">IF(OR(ISTEXT(H60),Q60=0),"",IF(Q60&lt;0.1,1,IF(Q60&lt;1,2,IF(Q60&lt;10,3,IF(Q60&lt;50,4,IF(Q60&gt;=50,5,""))))))</f>
        <v>1</v>
      </c>
      <c r="S60" s="487" t="n">
        <f aca="false">IF(ISERROR(R60*I60),0,R60*I60)</f>
        <v>0</v>
      </c>
      <c r="T60" s="487" t="n">
        <f aca="false">IF(ISERROR(R60*I60*J60),0,R60*I60*J60)</f>
        <v>0</v>
      </c>
      <c r="U60" s="499" t="n">
        <f aca="false">IF(ISERROR(R60*J60),0,R60*J60)</f>
        <v>0</v>
      </c>
      <c r="V60" s="488" t="str">
        <f aca="false">IF(AND(A60="",F60=0),"",IF(F60=0,"Il manque le(s) % de rec. !",""))</f>
        <v/>
      </c>
      <c r="W60" s="489"/>
      <c r="X60" s="489"/>
      <c r="Y60" s="490" t="str">
        <f aca="false">IF(A60="new.cod","NEWCOD",IF(AND((Z60=""),ISTEXT(A60)),A60,IF(Z60="","",INDEX('liste reference'!$A$8:$A$904,Z60))))</f>
        <v>GALPAL</v>
      </c>
      <c r="Z60" s="280" t="n">
        <f aca="false">IF(ISERROR(MATCH(A60,'liste reference'!$A$8:$A$904,0)),IF(ISERROR(MATCH(A60,'liste reference'!$B$8:$B$904,0)),"",(MATCH(A60,'liste reference'!$B$8:$B$904,0))),(MATCH(A60,'liste reference'!$A$8:$A$904,0)))</f>
        <v>753</v>
      </c>
      <c r="AA60" s="491" t="s">
        <v>2685</v>
      </c>
      <c r="AB60" s="492"/>
      <c r="AC60" s="492"/>
      <c r="BB60" s="280" t="n">
        <f aca="false">IF(A60="","",1)</f>
        <v>1</v>
      </c>
    </row>
    <row r="61" customFormat="false" ht="12.75" hidden="false" customHeight="false" outlineLevel="0" collapsed="false">
      <c r="A61" s="493" t="s">
        <v>2307</v>
      </c>
      <c r="B61" s="494" t="n">
        <v>0.01</v>
      </c>
      <c r="C61" s="495" t="n">
        <v>0.05</v>
      </c>
      <c r="D61" s="477" t="str">
        <f aca="false">IF(ISERROR(VLOOKUP($A61,'liste reference'!$A$7:$D$904,2,0)),IF(ISERROR(VLOOKUP($A61,'liste reference'!$B$7:$D$904,1,0)),"",VLOOKUP($A61,'liste reference'!$B$7:$D$904,1,0)),VLOOKUP($A61,'liste reference'!$A$7:$D$904,2,0))</f>
        <v>Juncus articulatus</v>
      </c>
      <c r="E61" s="496" t="e">
        <f aca="false">IF(D61="",0,VLOOKUP(D61,D$22:D60,1,0))</f>
        <v>#N/A</v>
      </c>
      <c r="F61" s="500" t="n">
        <f aca="false">($B61*$B$7+$C61*$C$7)/100</f>
        <v>0.032</v>
      </c>
      <c r="G61" s="479" t="str">
        <f aca="false">IF(A61="","",IF(ISERROR(VLOOKUP($A61,'liste reference'!$A$7:$P$904,13,0)),IF(ISERROR(VLOOKUP($A61,'liste reference'!$B$7:$P$904,12,0)),"    -",VLOOKUP($A61,'liste reference'!$B$7:$P$904,12,0)),VLOOKUP($A61,'liste reference'!$A$7:$P$904,13,0)))</f>
        <v>PHg</v>
      </c>
      <c r="H61" s="480" t="n">
        <f aca="false">IF(A61="","x",IF(ISERROR(VLOOKUP($A61,'liste reference'!$A$8:$P$904,14,0)),IF(ISERROR(VLOOKUP($A61,'liste reference'!$B$8:$P$904,13,0)),"x",VLOOKUP($A61,'liste reference'!$B$8:$P$904,13,0)),VLOOKUP($A61,'liste reference'!$A$8:$P$904,14,0)))</f>
        <v>9</v>
      </c>
      <c r="I61" s="481" t="n">
        <f aca="false">IF(ISNUMBER(H61),IF(ISERROR(VLOOKUP($A61,'liste reference'!$A$7:$P$904,3,0)),IF(ISERROR(VLOOKUP($A61,'liste reference'!$B$7:$P$904,2,0)),"",VLOOKUP($A61,'liste reference'!$B$7:$P$904,2,0)),VLOOKUP($A61,'liste reference'!$A$7:$P$904,3,0)),"")</f>
        <v>0</v>
      </c>
      <c r="J61" s="481" t="n">
        <f aca="false">IF(ISNUMBER(H61),IF(ISERROR(VLOOKUP($A61,'liste reference'!$A$7:$P$904,4,0)),IF(ISERROR(VLOOKUP($A61,'liste reference'!$B$7:$P$904,3,0)),"",VLOOKUP($A61,'liste reference'!$B$7:$P$904,3,0)),VLOOKUP($A61,'liste reference'!$A$7:$P$904,4,0)),"")</f>
        <v>0</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Juncus articulatus</v>
      </c>
      <c r="L61" s="498"/>
      <c r="M61" s="498"/>
      <c r="N61" s="498"/>
      <c r="O61" s="484"/>
      <c r="P61" s="485" t="n">
        <f aca="false">IF($A61="NEWCOD",IF($AC61="","No",$AC61),IF(ISTEXT($E61),"DEJA SAISI !",IF($A61="","",IF(ISERROR(VLOOKUP($A61,'liste reference'!A:S,19,FALSE())),IF(ISERROR(VLOOKUP($A61,'liste reference'!B:S,19,FALSE())),"",VLOOKUP($A61,'liste reference'!B:S,19,FALSE())),VLOOKUP($A61,'liste reference'!A:S,19,FALSE())))))</f>
        <v>1609</v>
      </c>
      <c r="Q61" s="486" t="n">
        <f aca="false">IF(ISTEXT(H61),"",(B61*$B$7/100)+(C61*$C$7/100))</f>
        <v>0.032</v>
      </c>
      <c r="R61" s="487" t="n">
        <f aca="false">IF(OR(ISTEXT(H61),Q61=0),"",IF(Q61&lt;0.1,1,IF(Q61&lt;1,2,IF(Q61&lt;10,3,IF(Q61&lt;50,4,IF(Q61&gt;=50,5,""))))))</f>
        <v>1</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JUNART</v>
      </c>
      <c r="Z61" s="280" t="n">
        <f aca="false">IF(ISERROR(MATCH(A61,'liste reference'!$A$8:$A$904,0)),IF(ISERROR(MATCH(A61,'liste reference'!$B$8:$B$904,0)),"",(MATCH(A61,'liste reference'!$B$8:$B$904,0))),(MATCH(A61,'liste reference'!$A$8:$A$904,0)))</f>
        <v>768</v>
      </c>
      <c r="AA61" s="491"/>
      <c r="AB61" s="492"/>
      <c r="AC61" s="492"/>
      <c r="BB61" s="280" t="n">
        <f aca="false">IF(A61="","",1)</f>
        <v>1</v>
      </c>
    </row>
    <row r="62" customFormat="false" ht="12.75" hidden="false" customHeight="false" outlineLevel="0" collapsed="false">
      <c r="A62" s="493" t="s">
        <v>2436</v>
      </c>
      <c r="B62" s="494"/>
      <c r="C62" s="495" t="n">
        <v>0.05</v>
      </c>
      <c r="D62" s="477" t="str">
        <f aca="false">IF(ISERROR(VLOOKUP($A62,'liste reference'!$A$7:$D$904,2,0)),IF(ISERROR(VLOOKUP($A62,'liste reference'!$B$7:$D$904,1,0)),"",VLOOKUP($A62,'liste reference'!$B$7:$D$904,1,0)),VLOOKUP($A62,'liste reference'!$A$7:$D$904,2,0))</f>
        <v>Solanum dulcamara</v>
      </c>
      <c r="E62" s="496" t="e">
        <f aca="false">IF(D62="",0,VLOOKUP(D62,D$22:D61,1,0))</f>
        <v>#N/A</v>
      </c>
      <c r="F62" s="500" t="n">
        <f aca="false">($B62*$B$7+$C62*$C$7)/100</f>
        <v>0.0275</v>
      </c>
      <c r="G62" s="479" t="str">
        <f aca="false">IF(A62="","",IF(ISERROR(VLOOKUP($A62,'liste reference'!$A$7:$P$904,13,0)),IF(ISERROR(VLOOKUP($A62,'liste reference'!$B$7:$P$904,12,0)),"    -",VLOOKUP($A62,'liste reference'!$B$7:$P$904,12,0)),VLOOKUP($A62,'liste reference'!$A$7:$P$904,13,0)))</f>
        <v>PHg</v>
      </c>
      <c r="H62" s="480" t="n">
        <f aca="false">IF(A62="","x",IF(ISERROR(VLOOKUP($A62,'liste reference'!$A$8:$P$904,14,0)),IF(ISERROR(VLOOKUP($A62,'liste reference'!$B$8:$P$904,13,0)),"x",VLOOKUP($A62,'liste reference'!$B$8:$P$904,13,0)),VLOOKUP($A62,'liste reference'!$A$8:$P$904,14,0)))</f>
        <v>9</v>
      </c>
      <c r="I62" s="481" t="n">
        <f aca="false">IF(ISNUMBER(H62),IF(ISERROR(VLOOKUP($A62,'liste reference'!$A$7:$P$904,3,0)),IF(ISERROR(VLOOKUP($A62,'liste reference'!$B$7:$P$904,2,0)),"",VLOOKUP($A62,'liste reference'!$B$7:$P$904,2,0)),VLOOKUP($A62,'liste reference'!$A$7:$P$904,3,0)),"")</f>
        <v>0</v>
      </c>
      <c r="J62" s="481" t="n">
        <f aca="false">IF(ISNUMBER(H62),IF(ISERROR(VLOOKUP($A62,'liste reference'!$A$7:$P$904,4,0)),IF(ISERROR(VLOOKUP($A62,'liste reference'!$B$7:$P$904,3,0)),"",VLOOKUP($A62,'liste reference'!$B$7:$P$904,3,0)),VLOOKUP($A62,'liste reference'!$A$7:$P$904,4,0)),"")</f>
        <v>0</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Solanum dulcamara</v>
      </c>
      <c r="L62" s="498"/>
      <c r="M62" s="498"/>
      <c r="N62" s="498"/>
      <c r="O62" s="484"/>
      <c r="P62" s="485" t="n">
        <f aca="false">IF($A62="NEWCOD",IF($AC62="","No",$AC62),IF(ISTEXT($E62),"DEJA SAISI !",IF($A62="","",IF(ISERROR(VLOOKUP($A62,'liste reference'!A:S,19,FALSE())),IF(ISERROR(VLOOKUP($A62,'liste reference'!B:S,19,FALSE())),"",VLOOKUP($A62,'liste reference'!B:S,19,FALSE())),VLOOKUP($A62,'liste reference'!A:S,19,FALSE())))))</f>
        <v>1964</v>
      </c>
      <c r="Q62" s="486" t="n">
        <f aca="false">IF(ISTEXT(H62),"",(B62*$B$7/100)+(C62*$C$7/100))</f>
        <v>0.0275</v>
      </c>
      <c r="R62" s="487" t="n">
        <f aca="false">IF(OR(ISTEXT(H62),Q62=0),"",IF(Q62&lt;0.1,1,IF(Q62&lt;1,2,IF(Q62&lt;10,3,IF(Q62&lt;50,4,IF(Q62&gt;=50,5,""))))))</f>
        <v>1</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SOADUL</v>
      </c>
      <c r="Z62" s="280" t="n">
        <f aca="false">IF(ISERROR(MATCH(A62,'liste reference'!$A$8:$A$904,0)),IF(ISERROR(MATCH(A62,'liste reference'!$B$8:$B$904,0)),"",(MATCH(A62,'liste reference'!$B$8:$B$904,0))),(MATCH(A62,'liste reference'!$A$8:$A$904,0)))</f>
        <v>824</v>
      </c>
      <c r="AA62" s="491"/>
      <c r="AB62" s="492"/>
      <c r="AC62" s="492"/>
      <c r="BB62" s="280" t="n">
        <f aca="false">IF(A62="","",1)</f>
        <v>1</v>
      </c>
    </row>
    <row r="63" customFormat="false" ht="12.75" hidden="false" customHeight="false" outlineLevel="0" collapsed="false">
      <c r="A63" s="493" t="s">
        <v>2687</v>
      </c>
      <c r="B63" s="494" t="n">
        <v>0.1</v>
      </c>
      <c r="C63" s="495" t="n">
        <v>0.25</v>
      </c>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0.1825</v>
      </c>
      <c r="G63" s="505" t="str">
        <f aca="false">IF(A63="","",IF(ISERROR(VLOOKUP($A63,'liste reference'!$A$7:$P$904,13,0)),IF(ISERROR(VLOOKUP($A63,'liste reference'!$B$7:$P$904,12,0)),"    -",VLOOKUP($A63,'liste reference'!$B$7:$P$904,12,0)),VLOOKUP($A63,'liste reference'!$A$7:$P$904,13,0)))</f>
        <v>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Paspalum distichum</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No</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NEWCOD</v>
      </c>
      <c r="Z63" s="280" t="str">
        <f aca="false">IF(ISERROR(MATCH(A63,'liste reference'!$A$8:$A$904,0)),IF(ISERROR(MATCH(A63,'liste reference'!$B$8:$B$904,0)),"",(MATCH(A63,'liste reference'!$B$8:$B$904,0))),(MATCH(A63,'liste reference'!$A$8:$A$904,0)))</f>
        <v/>
      </c>
      <c r="AA63" s="491"/>
      <c r="AB63" s="492" t="s">
        <v>2688</v>
      </c>
      <c r="AC63" s="492"/>
      <c r="BB63" s="280" t="n">
        <f aca="false">IF(A63="","",1)</f>
        <v>1</v>
      </c>
    </row>
    <row r="64" customFormat="false" ht="12.75" hidden="false" customHeight="true" outlineLevel="0" collapsed="false">
      <c r="A64" s="493" t="s">
        <v>2687</v>
      </c>
      <c r="B64" s="494" t="n">
        <v>0.001</v>
      </c>
      <c r="C64" s="495"/>
      <c r="D64" s="477" t="str">
        <f aca="false">IF(ISERROR(VLOOKUP($A64,'liste reference'!$A$7:$D$904,2,0)),IF(ISERROR(VLOOKUP($A64,'liste reference'!$B$7:$D$904,1,0)),"",VLOOKUP($A64,'liste reference'!$B$7:$D$904,1,0)),VLOOKUP($A64,'liste reference'!$A$7:$D$904,2,0))</f>
        <v/>
      </c>
      <c r="E64" s="496" t="n">
        <f aca="false">IF(D64="",0,VLOOKUP(D64,D$22:D63,1,0))</f>
        <v>0</v>
      </c>
      <c r="F64" s="500" t="n">
        <f aca="false">($B64*$B$7+$C64*$C$7)/100</f>
        <v>0.00045</v>
      </c>
      <c r="G64" s="507" t="str">
        <f aca="false">IF(A64="","",IF(ISERROR(VLOOKUP($A64,'liste reference'!$A$7:$P$904,13,0)),IF(ISERROR(VLOOKUP($A64,'liste reference'!$B$7:$P$904,12,0)),"    -",VLOOKUP($A64,'liste reference'!$B$7:$P$904,12,0)),VLOOKUP($A64,'liste reference'!$A$7:$P$904,13,0)))</f>
        <v>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Leptolyngbya sp</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No</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NEWCOD</v>
      </c>
      <c r="Z64" s="280" t="str">
        <f aca="false">IF(ISERROR(MATCH(A64,'liste reference'!$A$8:$A$904,0)),IF(ISERROR(MATCH(A64,'liste reference'!$B$8:$B$904,0)),"",(MATCH(A64,'liste reference'!$B$8:$B$904,0))),(MATCH(A64,'liste reference'!$A$8:$A$904,0)))</f>
        <v/>
      </c>
      <c r="AA64" s="491"/>
      <c r="AB64" s="492" t="s">
        <v>2689</v>
      </c>
      <c r="AC64" s="492"/>
      <c r="BB64" s="280" t="n">
        <f aca="false">IF(A64="","",1)</f>
        <v>1</v>
      </c>
    </row>
    <row r="65" customFormat="false" ht="12.75" hidden="fals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fals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fals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fals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fals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fals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fals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fals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fals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fals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fals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fals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fals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fals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fals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fals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fals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fals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ABATESCO</v>
      </c>
      <c r="B84" s="529" t="str">
        <f aca="false">C3</f>
        <v>Serra di Fium'Orbo</v>
      </c>
      <c r="C84" s="530" t="n">
        <f aca="false">A4</f>
        <v>41449</v>
      </c>
      <c r="D84" s="531" t="n">
        <f aca="false">IF(ISERROR(SUM($T$23:$T$82)/SUM($U$23:$U$82)),"",SUM($T$23:$T$82)/SUM($U$23:$U$82))</f>
        <v>11.5178571428571</v>
      </c>
      <c r="E84" s="532" t="n">
        <f aca="false">N13</f>
        <v>42</v>
      </c>
      <c r="F84" s="529" t="n">
        <f aca="false">N14</f>
        <v>40</v>
      </c>
      <c r="G84" s="529" t="n">
        <f aca="false">N15</f>
        <v>13</v>
      </c>
      <c r="H84" s="529" t="n">
        <f aca="false">N16</f>
        <v>12</v>
      </c>
      <c r="I84" s="529" t="n">
        <f aca="false">N17</f>
        <v>3</v>
      </c>
      <c r="J84" s="533" t="n">
        <f aca="false">N8</f>
        <v>7.825</v>
      </c>
      <c r="K84" s="531" t="n">
        <f aca="false">N9</f>
        <v>5.7310012214272</v>
      </c>
      <c r="L84" s="532" t="n">
        <f aca="false">N10</f>
        <v>0</v>
      </c>
      <c r="M84" s="532" t="n">
        <f aca="false">N11</f>
        <v>18</v>
      </c>
      <c r="N84" s="531" t="n">
        <f aca="false">O8</f>
        <v>1.15</v>
      </c>
      <c r="O84" s="531" t="n">
        <f aca="false">O9</f>
        <v>0.93674969975976</v>
      </c>
      <c r="P84" s="532" t="n">
        <f aca="false">O10</f>
        <v>0</v>
      </c>
      <c r="Q84" s="532" t="n">
        <f aca="false">O11</f>
        <v>3</v>
      </c>
      <c r="R84" s="532" t="n">
        <f aca="false">F21</f>
        <v>6.67595</v>
      </c>
      <c r="S84" s="532" t="n">
        <f aca="false">K11</f>
        <v>0</v>
      </c>
      <c r="T84" s="532" t="n">
        <f aca="false">K12</f>
        <v>15</v>
      </c>
      <c r="U84" s="532" t="n">
        <f aca="false">K13</f>
        <v>3</v>
      </c>
      <c r="V84" s="534" t="n">
        <f aca="false">K14</f>
        <v>1</v>
      </c>
      <c r="W84" s="535" t="n">
        <f aca="false">K15</f>
        <v>21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30</v>
      </c>
      <c r="T87" s="280"/>
      <c r="U87" s="280"/>
      <c r="V87" s="280"/>
    </row>
    <row r="88" customFormat="false" ht="12.75" hidden="true" customHeight="false" outlineLevel="0" collapsed="false">
      <c r="P88" s="280"/>
      <c r="Q88" s="280" t="s">
        <v>2693</v>
      </c>
      <c r="R88" s="280"/>
      <c r="S88" s="488" t="n">
        <f aca="false">VLOOKUP((S87),($S$23:$U$82),2,0)</f>
        <v>30</v>
      </c>
      <c r="T88" s="280"/>
      <c r="U88" s="280"/>
      <c r="V88" s="280"/>
    </row>
    <row r="89" customFormat="false" ht="12.75" hidden="true" customHeight="false" outlineLevel="0" collapsed="false">
      <c r="Q89" s="280" t="s">
        <v>2694</v>
      </c>
      <c r="R89" s="280"/>
      <c r="S89" s="488" t="n">
        <f aca="false">VLOOKUP((S87),($S$23:$U$82),3,0)</f>
        <v>3</v>
      </c>
      <c r="T89" s="280"/>
    </row>
    <row r="90" customFormat="false" ht="12.75" hidden="false" customHeight="false" outlineLevel="0" collapsed="false">
      <c r="Q90" s="280" t="s">
        <v>2695</v>
      </c>
      <c r="R90" s="280"/>
      <c r="S90" s="538" t="n">
        <f aca="false">IF(ISERROR(SUM($T$23:$T$82)/SUM($U$23:$U$82)),"",(SUM($T$23:$T$82)-S88)/(SUM($U$23:$U$82)-S89))</f>
        <v>11.6037735849057</v>
      </c>
      <c r="T90" s="280"/>
    </row>
    <row r="91" customFormat="false" ht="12.75" hidden="false" customHeight="false" outlineLevel="0" collapsed="false">
      <c r="Q91" s="487" t="s">
        <v>2696</v>
      </c>
      <c r="R91" s="487"/>
      <c r="S91" s="487" t="str">
        <f aca="false">INDEX('liste reference'!$A$8:$A$904,$T$91)</f>
        <v>AGRSTO</v>
      </c>
      <c r="T91" s="280" t="n">
        <f aca="false">IF(ISERROR(MATCH($S$93,'liste reference'!$A$8:$A$904,0)),MATCH($S$93,'liste reference'!$B$8:$B$904,0),(MATCH($S$93,'liste reference'!$A$8:$A$904,0)))</f>
        <v>514</v>
      </c>
      <c r="U91" s="527"/>
    </row>
    <row r="92" customFormat="false" ht="12.75" hidden="false" customHeight="false" outlineLevel="0" collapsed="false">
      <c r="Q92" s="280" t="s">
        <v>2697</v>
      </c>
      <c r="R92" s="280"/>
      <c r="S92" s="280" t="n">
        <f aca="false">MATCH(S87,$S$23:$S$82,0)</f>
        <v>24</v>
      </c>
      <c r="T92" s="280"/>
    </row>
    <row r="93" customFormat="false" ht="12.75" hidden="false" customHeight="false" outlineLevel="0" collapsed="false">
      <c r="Q93" s="487" t="s">
        <v>2698</v>
      </c>
      <c r="R93" s="280"/>
      <c r="S93" s="487" t="str">
        <f aca="false">INDEX($A$23:$A$82,$S$92)</f>
        <v>AGRSTO</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4"/>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3"/>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4"/>
      <c r="P59" s="502"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1"/>
      <c r="M60" s="501"/>
      <c r="N60" s="501"/>
      <c r="O60" s="484"/>
      <c r="P60" s="502"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2713</v>
      </c>
      <c r="G18" s="577"/>
      <c r="H18" s="576" t="s">
        <v>2713</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2722</v>
      </c>
      <c r="C37" s="568"/>
      <c r="D37" s="569"/>
      <c r="F37" s="585" t="s">
        <v>2723</v>
      </c>
    </row>
    <row r="38" customFormat="false" ht="15" hidden="false" customHeight="false" outlineLevel="0" collapsed="false">
      <c r="A38" s="565" t="s">
        <v>2145</v>
      </c>
      <c r="B38" s="566" t="s">
        <v>2146</v>
      </c>
      <c r="C38" s="568"/>
      <c r="D38" s="569"/>
      <c r="F38" s="585" t="s">
        <v>2724</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2014-01-29T17:29:44Z</dcterms:modified>
  <cp:revision>0</cp:revision>
  <dc:subject/>
  <dc:title>Feuille d'aide au calcul de l'IBMR</dc:title>
</cp:coreProperties>
</file>