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Travo a Ventiseri"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'Travo a Ventiseri'!$A$1:$Q$82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'Travo a Ventiseri'!$A$1:$C$1415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<sst xmlns="http://schemas.openxmlformats.org/spreadsheetml/2006/main" count="10007" uniqueCount="3494">
  <si>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</si>
  <si>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</si>
  <si>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</si>
  <si>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</si>
  <si>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</si>
  <si>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</si>
  <si>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</si>
  <si>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</si>
  <si>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</si>
  <si>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</si>
  <si>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</si>
  <si>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</si>
  <si>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</si>
  <si>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</si>
  <si>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</si>
  <si>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</si>
  <si>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</si>
  <si>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</si>
  <si>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</si>
  <si>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</si>
  <si>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</si>
  <si>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</si>
  <si>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</si>
  <si>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</si>
  <si>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</si>
  <si>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</si>
  <si>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</si>
  <si>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</si>
  <si>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</si>
  <si>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</si>
  <si>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</si>
  <si>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</si>
  <si>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</si>
  <si>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</si>
  <si>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</si>
  <si>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</si>
  <si>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</si>
  <si>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</si>
  <si>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</si>
  <si>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</si>
  <si>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</si>
  <si>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</si>
  <si>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</si>
  <si>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</si>
  <si>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</si>
  <si>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</si>
  <si>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</si>
  <si>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</si>
  <si>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</si>
  <si>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</si>
  <si>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</si>
  <si>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</si>
  <si>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</si>
  <si>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</si>
  <si>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</si>
  <si>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</si>
  <si>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</si>
  <si>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</si>
  <si>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</si>
  <si>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</si>
  <si>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</si>
  <si>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</si>
  <si>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</si>
  <si>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</si>
  <si>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</si>
  <si>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</si>
  <si>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</si>
  <si>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</si>
  <si>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</si>
  <si>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</si>
  <si>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</si>
  <si>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</si>
  <si>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</si>
  <si>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</si>
  <si>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</si>
  <si>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</si>
  <si>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</si>
  <si>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</si>
  <si>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</si>
  <si>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</si>
  <si>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</si>
  <si>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</si>
  <si>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</si>
  <si>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</si>
  <si>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</si>
  <si>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</si>
  <si>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</si>
  <si>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</si>
  <si>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</si>
  <si>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</si>
  <si>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</si>
  <si>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</si>
  <si>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</si>
  <si>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</si>
  <si>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</si>
  <si>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</si>
  <si>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</si>
  <si>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</si>
  <si>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</si>
  <si>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</si>
  <si>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</si>
  <si>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</si>
  <si>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</si>
  <si>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</si>
  <si>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</si>
  <si>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</si>
  <si>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</si>
  <si>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</si>
  <si>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</si>
  <si>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</si>
  <si>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</si>
  <si>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</si>
  <si>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</si>
  <si>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</si>
  <si>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</si>
  <si>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</si>
  <si>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</si>
  <si>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</si>
  <si>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</si>
  <si>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</si>
  <si>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</si>
  <si>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</si>
  <si>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</si>
  <si>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</si>
  <si>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</si>
  <si>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</si>
  <si>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</si>
  <si>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</si>
  <si>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</si>
  <si>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</si>
  <si>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</si>
  <si>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</si>
  <si>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</si>
  <si>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</si>
  <si>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</si>
  <si>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</si>
  <si>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</si>
  <si>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</si>
  <si>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</si>
  <si>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</si>
  <si>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</si>
  <si>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</si>
  <si>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</si>
  <si>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</si>
  <si>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</si>
  <si>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</si>
  <si>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</si>
  <si>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</si>
  <si>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</si>
  <si>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</si>
  <si>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</si>
  <si>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</si>
  <si>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</si>
  <si>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</si>
  <si>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</si>
  <si>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</si>
  <si>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</si>
  <si>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</si>
  <si>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</si>
  <si>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</si>
  <si>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</si>
  <si>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</si>
  <si>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</si>
  <si>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</si>
  <si>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</si>
  <si>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</si>
  <si>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</si>
  <si>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</si>
  <si>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</si>
  <si>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</si>
  <si>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</si>
  <si>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</si>
  <si>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</si>
  <si>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</si>
  <si>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</si>
  <si>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</si>
  <si>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</si>
  <si>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</si>
  <si>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</si>
  <si>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</si>
  <si>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</si>
  <si>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</si>
  <si>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</si>
  <si>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</si>
  <si>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</si>
  <si>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</si>
  <si>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</si>
  <si>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</si>
  <si>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</si>
  <si>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</si>
  <si>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</si>
  <si>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</si>
  <si>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</si>
  <si>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</si>
  <si>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</si>
  <si>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</si>
  <si>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</si>
  <si>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</si>
  <si>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</si>
  <si>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</si>
  <si>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</si>
  <si>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</si>
  <si>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</si>
  <si>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</si>
  <si>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</si>
  <si>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</si>
  <si>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</si>
  <si>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</si>
  <si>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</si>
  <si>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</si>
  <si>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</si>
  <si>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</si>
  <si>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</si>
  <si>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</si>
  <si>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</si>
  <si>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</si>
  <si>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</si>
  <si>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</si>
  <si>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</si>
  <si>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</si>
  <si>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</si>
  <si>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</si>
  <si>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</si>
  <si>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</si>
  <si>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</si>
  <si>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</si>
  <si>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</si>
  <si>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</si>
  <si>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</si>
  <si>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</si>
  <si>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</si>
  <si>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</si>
  <si>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</si>
  <si>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</si>
  <si>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</si>
  <si>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</si>
  <si>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</si>
  <si>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</si>
  <si>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</si>
  <si>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</si>
  <si>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</si>
  <si>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</si>
  <si>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</si>
  <si>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</si>
  <si>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</si>
  <si>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</si>
  <si>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</si>
  <si>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</si>
  <si>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</si>
  <si>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</si>
  <si>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</si>
  <si>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</si>
  <si>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</si>
  <si>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</si>
  <si>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</si>
  <si>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</si>
  <si>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</si>
  <si>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</si>
  <si>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</si>
  <si>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</si>
  <si>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</si>
  <si>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</si>
  <si>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</si>
  <si>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</si>
  <si>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</si>
  <si>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</si>
  <si>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</si>
  <si>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</si>
  <si>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</si>
  <si>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</si>
  <si>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</si>
  <si>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</si>
  <si>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</si>
  <si>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</si>
  <si>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</si>
  <si>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</si>
  <si>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</si>
  <si>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</si>
  <si>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</si>
  <si>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</si>
  <si>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</si>
  <si>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</si>
  <si>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</si>
  <si>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</si>
  <si>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</si>
  <si>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</si>
  <si>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</si>
  <si>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</si>
  <si>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</si>
  <si>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</si>
  <si>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</si>
  <si>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</si>
  <si>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</si>
  <si>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</si>
  <si>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</si>
  <si>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</si>
  <si>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</si>
  <si>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</si>
  <si>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</si>
  <si>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</si>
  <si>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</si>
  <si>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</si>
  <si>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</si>
  <si>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</si>
  <si>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</si>
  <si>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</si>
  <si>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</si>
  <si>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</si>
  <si>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</si>
  <si>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</si>
  <si>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</si>
  <si>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</si>
  <si>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</si>
  <si>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</si>
  <si>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</si>
  <si>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</si>
  <si>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</si>
  <si>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</si>
  <si>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</si>
  <si>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</si>
  <si>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</si>
  <si>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</si>
  <si>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</si>
  <si>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</si>
  <si>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</si>
  <si>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</si>
  <si>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</si>
  <si>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</si>
  <si>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</si>
  <si>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</si>
  <si>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</si>
  <si>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</si>
  <si>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</si>
  <si>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</si>
  <si>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</si>
  <si>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</si>
  <si>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</si>
  <si>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</si>
  <si>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</si>
  <si>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</si>
  <si>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</si>
  <si>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</si>
  <si>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</si>
  <si>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</si>
  <si>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</si>
  <si>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</si>
  <si>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</si>
  <si>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</si>
  <si>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</si>
  <si>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</si>
  <si>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</si>
  <si>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</si>
  <si>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</si>
  <si>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</si>
  <si>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</si>
  <si>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</si>
  <si>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</si>
  <si>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</si>
  <si>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</si>
  <si>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</si>
  <si>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</si>
  <si>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</si>
  <si>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</si>
  <si>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</si>
  <si>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</si>
  <si>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</si>
  <si>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</si>
  <si>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</si>
  <si>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</si>
  <si>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</si>
  <si>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</si>
  <si>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</si>
  <si>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</si>
  <si>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</si>
  <si>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</si>
  <si>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</si>
  <si>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</si>
  <si>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</si>
  <si>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</si>
  <si>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</si>
  <si>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</si>
  <si>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</si>
  <si>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</si>
  <si>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</si>
  <si>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</si>
  <si>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</si>
  <si>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</si>
  <si>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</si>
  <si>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</si>
  <si>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</si>
  <si>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</si>
  <si>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</si>
  <si>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</si>
  <si>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</si>
  <si>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</si>
  <si>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</si>
  <si>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</si>
  <si>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</si>
  <si>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</si>
  <si>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</si>
  <si>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</si>
  <si>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</si>
  <si>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</si>
  <si>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</si>
  <si>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</si>
  <si>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</si>
  <si>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</si>
  <si>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</si>
  <si>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</si>
  <si>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</si>
  <si>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</si>
  <si>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</si>
  <si>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</si>
  <si>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</si>
  <si>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</si>
  <si>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</si>
  <si>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</si>
  <si>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</si>
  <si>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</si>
  <si>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</si>
  <si>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</si>
  <si>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</si>
  <si>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</si>
  <si>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</si>
  <si>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</si>
  <si>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</si>
  <si>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</si>
  <si>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</si>
  <si>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</si>
  <si>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</si>
  <si>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</si>
  <si>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</si>
  <si>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</si>
  <si>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</si>
  <si>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</si>
  <si>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</si>
  <si>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</si>
  <si>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</si>
  <si>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</si>
  <si>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</si>
  <si>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</si>
  <si>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</si>
  <si>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</si>
  <si>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</si>
  <si>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</si>
  <si>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</si>
  <si>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</si>
  <si>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</si>
  <si>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</si>
  <si>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</si>
  <si>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</si>
  <si>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</si>
  <si>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</si>
  <si>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</si>
  <si>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</si>
  <si>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</si>
  <si>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</si>
  <si>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</si>
  <si>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</si>
  <si>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</si>
  <si>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</si>
  <si>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</si>
  <si>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</si>
  <si>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</si>
  <si>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</si>
  <si>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</si>
  <si>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</si>
  <si>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</si>
  <si>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</si>
  <si>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</si>
  <si>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</si>
  <si>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</si>
  <si>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</si>
  <si>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</si>
  <si>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</si>
  <si>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</si>
  <si>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</si>
  <si>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</si>
  <si>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</si>
  <si>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</si>
  <si>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</si>
  <si>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</si>
  <si>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</si>
  <si>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</si>
  <si>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</si>
  <si>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</si>
  <si>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</si>
  <si>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</si>
  <si>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</si>
  <si>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</si>
  <si>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</si>
  <si>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</si>
  <si>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</si>
  <si>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</si>
  <si>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</si>
  <si>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</si>
  <si>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</si>
  <si>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</si>
  <si>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</si>
  <si>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</si>
  <si>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</si>
  <si>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</si>
  <si>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</si>
  <si>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</si>
  <si>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</si>
  <si>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</si>
  <si>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</si>
  <si>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</si>
  <si>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</si>
  <si>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</si>
  <si>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</si>
  <si>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</si>
  <si>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</si>
  <si>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</si>
  <si>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</si>
  <si>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</si>
  <si>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</si>
  <si>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</si>
  <si>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</si>
  <si>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</si>
  <si>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</si>
  <si>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</si>
  <si>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</si>
  <si>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</si>
  <si>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</si>
  <si>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</si>
  <si>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</si>
  <si>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</si>
  <si>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</si>
  <si>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</si>
  <si>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</si>
  <si>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</si>
  <si>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</si>
  <si>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</si>
  <si>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</si>
  <si>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</si>
  <si>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</si>
  <si>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</si>
  <si>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</si>
  <si>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</si>
  <si>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</si>
  <si>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</si>
  <si>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</si>
  <si>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</si>
  <si>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</si>
  <si>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</si>
  <si>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</si>
  <si>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</si>
  <si>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</si>
  <si>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</si>
  <si>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</si>
  <si>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</si>
  <si>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</si>
  <si>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</si>
  <si>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</si>
  <si>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</si>
  <si>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</si>
  <si>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</si>
  <si>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</si>
  <si>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</si>
  <si>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</si>
  <si>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</si>
  <si>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</si>
  <si>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</si>
  <si>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</si>
  <si>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</si>
  <si>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</si>
  <si>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</si>
  <si>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</si>
  <si>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</si>
  <si>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</si>
  <si>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</si>
  <si>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</si>
  <si>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</si>
  <si>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</si>
  <si>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</si>
  <si>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</si>
  <si>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</si>
  <si>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</si>
  <si>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</si>
  <si>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</si>
  <si>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</si>
  <si>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</si>
  <si>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</si>
  <si>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</si>
  <si>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</si>
  <si>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</si>
  <si>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</si>
  <si>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</si>
  <si>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</si>
  <si>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</si>
  <si>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</si>
  <si>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</si>
  <si>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</si>
  <si>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</si>
  <si>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</si>
  <si>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</si>
  <si>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</si>
  <si>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</si>
  <si>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</si>
  <si>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</si>
  <si>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</si>
  <si>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</si>
  <si>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</si>
  <si>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</si>
  <si>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</si>
  <si>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</si>
  <si>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</si>
  <si>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</si>
  <si>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</si>
  <si>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</si>
  <si>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</si>
  <si>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</si>
  <si>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</si>
  <si>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</si>
  <si>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</si>
  <si>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</si>
  <si>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</si>
  <si>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</si>
  <si>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</si>
  <si>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</si>
  <si>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</si>
  <si>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</si>
  <si>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</si>
  <si>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</si>
  <si>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</si>
  <si>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</si>
  <si>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</si>
  <si>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</si>
  <si>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</si>
  <si>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</si>
  <si>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</si>
  <si>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</si>
  <si>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</si>
  <si>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</si>
  <si>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</si>
  <si>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</si>
  <si>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</si>
  <si>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</si>
  <si>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</si>
  <si>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</si>
  <si>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</si>
  <si>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</si>
  <si>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</si>
  <si>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</si>
  <si>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</si>
  <si>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</si>
  <si>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</si>
  <si>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</si>
  <si>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</si>
  <si>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</si>
  <si>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</si>
  <si>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</si>
  <si>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</si>
  <si>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</si>
  <si>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</si>
  <si>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</si>
  <si>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</si>
  <si>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</si>
  <si>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</si>
  <si>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</si>
  <si>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</si>
  <si>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</si>
  <si>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</si>
  <si>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</si>
  <si>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</si>
  <si>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</si>
  <si>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</si>
  <si>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</si>
  <si>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</si>
  <si>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</si>
  <si>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</si>
  <si>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</si>
  <si>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</si>
  <si>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</si>
  <si>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</si>
  <si>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</si>
  <si>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</si>
  <si>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</si>
  <si>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</si>
  <si>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</si>
  <si>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</si>
  <si>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</si>
  <si>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</si>
  <si>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</si>
  <si>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</si>
  <si>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</si>
  <si>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</si>
  <si>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</si>
  <si>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</si>
  <si>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</si>
  <si>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</si>
  <si>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</si>
  <si>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</si>
  <si>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</si>
  <si>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</si>
  <si>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</si>
  <si>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</si>
  <si>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</si>
  <si>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</si>
  <si>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</si>
  <si>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</si>
  <si>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</si>
  <si>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</si>
  <si>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</si>
  <si>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</si>
  <si>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</si>
  <si>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</si>
  <si>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</si>
  <si>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</si>
  <si>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</si>
  <si>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</si>
  <si>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</si>
  <si>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</si>
  <si>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</si>
  <si>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</si>
  <si>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</si>
  <si>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</si>
  <si>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</si>
  <si>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</si>
  <si>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</si>
  <si>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</si>
  <si>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</si>
  <si>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</si>
  <si>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</si>
  <si>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</si>
  <si>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</si>
  <si>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</si>
  <si>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</si>
  <si>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</si>
  <si>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</si>
  <si>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</si>
  <si>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</si>
  <si>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</si>
  <si>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</si>
  <si>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</si>
  <si>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</si>
  <si>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</si>
  <si>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</si>
  <si>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</si>
  <si>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</si>
  <si>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</si>
  <si>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</si>
  <si>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</si>
  <si>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</si>
  <si>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</si>
  <si>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</si>
  <si>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</si>
  <si>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</si>
  <si>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</si>
  <si>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</si>
  <si>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</si>
  <si>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</si>
  <si>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</si>
  <si>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</si>
  <si>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</si>
  <si>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</si>
  <si>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</si>
  <si>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</si>
  <si>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</si>
  <si>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</si>
  <si>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</si>
  <si>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</si>
  <si>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</si>
  <si>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</si>
  <si>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</si>
  <si>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</si>
  <si>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</si>
  <si>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</si>
  <si>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</si>
  <si>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</si>
  <si>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</si>
  <si>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</si>
  <si>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</si>
  <si>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</si>
  <si>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</si>
  <si>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</si>
  <si>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</si>
  <si>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</si>
  <si>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</si>
  <si>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</si>
  <si>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</si>
  <si>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</si>
  <si>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</si>
  <si>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</si>
  <si>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</si>
  <si>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</si>
  <si>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</si>
  <si>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</si>
  <si>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</si>
  <si>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</si>
  <si>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</si>
  <si>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</si>
  <si>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</si>
  <si>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</si>
  <si>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</si>
  <si>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</si>
  <si>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</si>
  <si>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</si>
  <si>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</si>
  <si>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</si>
  <si>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</si>
  <si>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</si>
  <si>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</si>
  <si>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</si>
  <si>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</si>
  <si>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</si>
  <si>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</si>
  <si>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</si>
  <si>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</si>
  <si>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</si>
  <si>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</si>
  <si>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</si>
  <si>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</si>
  <si>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</si>
  <si>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</si>
  <si>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</si>
  <si>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</si>
  <si>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</si>
  <si>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</si>
  <si>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</si>
  <si>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</si>
  <si>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</si>
  <si>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</si>
  <si>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</si>
  <si>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</si>
  <si>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</si>
  <si>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</si>
  <si>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</si>
  <si>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</si>
  <si>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</si>
  <si>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</si>
  <si>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</si>
  <si>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</si>
  <si>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</si>
  <si>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</si>
  <si>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</si>
  <si>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</si>
  <si>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</si>
  <si>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</si>
  <si>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</si>
  <si>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</si>
  <si>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</si>
  <si>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</si>
  <si>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</si>
  <si>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</si>
  <si>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</si>
  <si>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</si>
  <si>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</si>
  <si>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</si>
  <si>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</si>
  <si>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</si>
  <si>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</si>
  <si>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</si>
  <si>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</si>
  <si>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</si>
  <si>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</si>
  <si>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</si>
  <si>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</si>
  <si>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</si>
  <si>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</si>
  <si>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</si>
  <si>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</si>
  <si>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</si>
  <si>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</si>
  <si>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</si>
  <si>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</si>
  <si>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</si>
  <si>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</si>
  <si>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</si>
  <si>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</si>
  <si>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</si>
  <si>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</si>
  <si>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</si>
  <si>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</si>
  <si>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</si>
  <si>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</si>
  <si>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</si>
  <si>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</si>
  <si>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</si>
  <si>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</si>
  <si>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</si>
  <si>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</si>
  <si>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</si>
  <si>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</si>
  <si>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</si>
  <si>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</si>
  <si>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</si>
  <si>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</si>
  <si>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</si>
  <si>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</si>
  <si>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</si>
  <si>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</si>
  <si>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</si>
  <si>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</si>
  <si>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</si>
  <si>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</si>
  <si>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</si>
  <si>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</si>
  <si>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</si>
  <si>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</si>
  <si>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</si>
  <si>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</si>
  <si>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</si>
  <si>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</si>
  <si>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</si>
  <si>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</si>
  <si>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</si>
  <si>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</si>
  <si>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</si>
  <si>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</si>
  <si>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</si>
  <si>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</si>
  <si>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</si>
  <si>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</si>
  <si>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</si>
  <si>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</si>
  <si>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</si>
  <si>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</si>
  <si>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</si>
  <si>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</si>
  <si>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</si>
  <si>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</si>
  <si>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</si>
  <si>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</si>
  <si>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</si>
  <si>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</si>
  <si>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</si>
  <si>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</si>
  <si>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</si>
  <si>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</si>
  <si>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</si>
  <si>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</si>
  <si>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</si>
  <si>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</si>
  <si>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</si>
  <si>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</si>
  <si>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</si>
  <si>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</si>
  <si>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</si>
  <si>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</si>
  <si>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</si>
  <si>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</si>
  <si>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</si>
  <si>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</si>
  <si>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</si>
  <si>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</si>
  <si>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</si>
  <si>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</si>
  <si>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</si>
  <si>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</si>
  <si>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</si>
  <si>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</si>
  <si>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</si>
  <si>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</si>
  <si>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</si>
  <si>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</si>
  <si>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</si>
  <si>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</si>
  <si>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</si>
  <si>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</si>
  <si>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</si>
  <si>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</si>
  <si>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</si>
  <si>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</si>
  <si>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</si>
  <si>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</si>
  <si>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</si>
  <si>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</si>
  <si>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</si>
  <si>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</si>
  <si>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</si>
  <si>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</si>
  <si>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</si>
  <si>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</si>
  <si>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</si>
  <si>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</si>
  <si>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</si>
  <si>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</si>
  <si>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</si>
  <si>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</si>
  <si>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</si>
  <si>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</si>
  <si>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</si>
  <si>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</si>
  <si>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</si>
  <si>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</si>
  <si>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</si>
  <si>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</si>
  <si>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</si>
  <si>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</si>
  <si>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</si>
  <si>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</si>
  <si>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</si>
  <si>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</si>
  <si>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</si>
  <si>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</si>
  <si>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</si>
  <si>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</si>
  <si>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</si>
  <si>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</si>
  <si>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</si>
  <si>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</si>
  <si>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</si>
  <si>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</si>
  <si>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</si>
  <si>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</si>
  <si>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</si>
  <si>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</si>
  <si>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</si>
  <si>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</si>
  <si>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</si>
  <si>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</si>
  <si>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</si>
  <si>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</si>
  <si>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</si>
  <si>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</si>
  <si>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</si>
  <si>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</si>
  <si>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</si>
  <si>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</si>
  <si>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</si>
  <si>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</si>
  <si>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</si>
  <si>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</si>
  <si>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</si>
  <si>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</si>
  <si>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</si>
  <si>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</si>
  <si>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</si>
  <si>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</si>
  <si>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</si>
  <si>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</si>
  <si>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</si>
  <si>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</si>
  <si>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</si>
  <si>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</si>
  <si>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</si>
  <si>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</si>
  <si>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</si>
  <si>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</si>
  <si>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</si>
  <si>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</si>
  <si>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</si>
  <si>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</si>
  <si>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</si>
  <si>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</si>
  <si>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</si>
  <si>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</si>
  <si>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</si>
  <si>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</si>
  <si>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</si>
  <si>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</si>
  <si>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</si>
  <si>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</si>
  <si>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</si>
  <si>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</si>
  <si>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</si>
  <si>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</si>
  <si>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</si>
  <si>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</si>
  <si>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</si>
  <si>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</si>
  <si>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</si>
  <si>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</si>
  <si>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</si>
  <si>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</si>
  <si>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</si>
  <si>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</si>
  <si>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</si>
  <si>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</si>
  <si>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</si>
  <si>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</si>
  <si>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</si>
  <si>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</si>
  <si>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</si>
  <si>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</si>
  <si>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</si>
  <si>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</si>
  <si>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</si>
  <si>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</si>
  <si>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</si>
  <si>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</si>
  <si>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</si>
  <si>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</si>
  <si>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</si>
  <si>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</si>
  <si>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</si>
  <si>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</si>
  <si>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</si>
  <si>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</si>
  <si>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</si>
  <si>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</si>
  <si>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</si>
  <si>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</si>
  <si>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</si>
  <si>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</si>
  <si>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</si>
  <si>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</si>
  <si>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</si>
  <si>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</si>
  <si>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</si>
  <si>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</si>
  <si>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</si>
  <si>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</si>
  <si>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</si>
  <si>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</si>
  <si>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</si>
  <si>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</si>
  <si>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</si>
  <si>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</si>
  <si>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</si>
  <si>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</si>
  <si>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</si>
  <si>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</si>
  <si>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</si>
  <si>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</si>
  <si>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</si>
  <si>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</si>
  <si>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</si>
  <si>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</si>
  <si>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</si>
  <si>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</si>
  <si>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</si>
  <si>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</si>
  <si>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</si>
  <si>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</si>
  <si>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</si>
  <si>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</si>
  <si>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</si>
  <si>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</si>
  <si>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</si>
  <si>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</si>
  <si>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</si>
  <si>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</si>
  <si>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</si>
  <si>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</si>
  <si>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</si>
  <si>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</si>
  <si>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</si>
  <si>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</si>
  <si>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</si>
  <si>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</si>
  <si>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</si>
  <si>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</si>
  <si>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</si>
  <si>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</si>
  <si>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</si>
  <si>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</si>
  <si>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</si>
  <si>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</si>
  <si>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</si>
  <si>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</si>
  <si>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</si>
  <si>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</si>
  <si>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</si>
  <si>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</si>
  <si>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</si>
  <si>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</si>
  <si>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</si>
  <si>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</si>
  <si>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</si>
  <si>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</si>
  <si>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</si>
  <si>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</si>
  <si>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</si>
  <si>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</si>
  <si>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</si>
  <si>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</si>
  <si>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</si>
  <si>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</si>
  <si>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</si>
  <si>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</si>
  <si>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</si>
  <si>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</si>
  <si>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</si>
  <si>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</si>
  <si>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</si>
  <si>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</si>
  <si>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</si>
  <si>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</si>
  <si>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</si>
  <si>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</si>
  <si>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</si>
  <si>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</si>
  <si>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</si>
  <si>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</si>
  <si>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</si>
  <si>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</si>
  <si>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</si>
  <si>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</si>
  <si>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</si>
  <si>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</si>
  <si>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</si>
  <si>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</si>
  <si>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</si>
  <si>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</si>
  <si>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</si>
  <si>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</si>
  <si>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</si>
  <si>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</si>
  <si>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</si>
  <si>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</si>
  <si>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</si>
  <si>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</si>
  <si>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</si>
  <si>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</si>
  <si>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</si>
  <si>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</si>
  <si>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</si>
  <si>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</si>
  <si>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</si>
  <si>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</si>
  <si>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</si>
  <si>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</si>
  <si>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</si>
  <si>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</si>
  <si>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</si>
  <si>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</si>
  <si>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</si>
  <si>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</si>
  <si>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</si>
  <si>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</si>
  <si>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</si>
  <si>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</si>
  <si>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</si>
  <si>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</si>
  <si>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</si>
  <si>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</si>
  <si>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</si>
  <si>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</si>
  <si>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</si>
  <si>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</si>
  <si>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</si>
  <si>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</si>
  <si>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</si>
  <si>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</si>
  <si>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</si>
  <si>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</si>
  <si>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</si>
  <si>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</si>
  <si>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</si>
  <si>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</si>
  <si>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</si>
  <si>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</si>
  <si>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</si>
  <si>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</si>
  <si>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</si>
  <si>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</si>
  <si>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</si>
  <si>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</si>
  <si>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</si>
  <si>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</si>
  <si>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</si>
  <si>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</si>
  <si>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</si>
  <si>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</si>
  <si>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</si>
  <si>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</si>
  <si>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</si>
  <si>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</si>
  <si>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</si>
  <si>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</si>
  <si>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</si>
  <si>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</si>
  <si>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</si>
  <si>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</si>
  <si>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</si>
  <si>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</si>
  <si>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</si>
  <si>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</si>
  <si>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</si>
  <si>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</si>
  <si>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</si>
  <si>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</si>
  <si>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</si>
  <si>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</si>
  <si>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</si>
  <si>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</si>
  <si>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</si>
  <si>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</si>
  <si>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</si>
  <si>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</si>
  <si>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</si>
  <si>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</si>
  <si>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</si>
  <si>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</si>
  <si>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</si>
  <si>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</si>
  <si>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</si>
  <si>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</si>
  <si>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</si>
  <si>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</si>
  <si>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</si>
  <si>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</si>
  <si>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</si>
  <si>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</si>
  <si>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</si>
  <si>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</si>
  <si>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</si>
  <si>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</si>
  <si>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</si>
  <si>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</si>
  <si>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</si>
  <si>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</si>
  <si>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</si>
  <si>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</si>
  <si>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</si>
  <si>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</si>
  <si>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</si>
  <si>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</si>
  <si>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</si>
  <si>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</si>
  <si>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</si>
  <si>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</si>
  <si>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</si>
  <si>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</si>
  <si>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</si>
  <si>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</si>
  <si>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</si>
  <si>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</si>
  <si>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</si>
  <si>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</si>
  <si>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</si>
  <si>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</si>
  <si>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</si>
  <si>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</si>
  <si>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</si>
  <si>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</si>
  <si>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</si>
  <si>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</si>
  <si>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</si>
  <si>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</si>
  <si>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</si>
  <si>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</si>
  <si>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</si>
  <si>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</si>
  <si>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</si>
  <si>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</si>
  <si>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</si>
  <si>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</si>
  <si>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</si>
  <si>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</si>
  <si>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</si>
  <si>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</si>
  <si>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</si>
  <si>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</si>
  <si>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</si>
  <si>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</si>
  <si>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</si>
  <si>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</si>
  <si>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</si>
  <si>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</si>
  <si>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</si>
  <si>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</si>
  <si>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</si>
  <si>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</si>
  <si>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</si>
  <si>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</si>
  <si>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</si>
  <si>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</si>
  <si>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</si>
  <si>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</si>
  <si>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</si>
  <si>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</si>
  <si>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</si>
  <si>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</si>
  <si>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</si>
  <si>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</si>
  <si>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</si>
  <si>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</si>
  <si>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</si>
  <si>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</si>
  <si>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</si>
  <si>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</si>
  <si>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</si>
  <si>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</si>
  <si>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</si>
  <si>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</si>
  <si>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</si>
  <si>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</si>
  <si>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</si>
  <si>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</si>
  <si>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</si>
  <si>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</si>
  <si>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</si>
  <si>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</si>
  <si>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</si>
  <si>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</si>
  <si>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</si>
  <si>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</si>
  <si>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</si>
  <si>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</si>
  <si>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</si>
  <si>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</si>
  <si>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</si>
  <si>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</si>
  <si>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</si>
  <si>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</si>
  <si>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</si>
  <si>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</si>
  <si>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</si>
  <si>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</si>
  <si>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</si>
  <si>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</si>
  <si>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</si>
  <si>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</si>
  <si>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</si>
  <si>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</si>
  <si>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</si>
  <si>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</si>
  <si>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</si>
  <si>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</si>
  <si>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</si>
  <si>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</si>
  <si>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</si>
  <si>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</si>
  <si>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</si>
  <si>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</si>
  <si>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</si>
  <si>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</si>
  <si>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</si>
  <si>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</si>
  <si>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</si>
  <si>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</si>
  <si>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</si>
  <si>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</si>
  <si>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</si>
  <si>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</si>
  <si>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</si>
  <si>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</si>
  <si>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</si>
  <si>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</si>
  <si>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</si>
  <si>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</si>
  <si>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</si>
  <si>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</si>
  <si>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</si>
  <si>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</si>
  <si>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</si>
  <si>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</si>
  <si>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</si>
  <si>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</si>
  <si>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</si>
  <si>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</si>
  <si>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</si>
  <si>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</si>
  <si>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</si>
  <si>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</si>
  <si>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</si>
  <si>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</si>
  <si>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</si>
  <si>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</si>
  <si>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</si>
  <si>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</si>
  <si>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</si>
  <si>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</si>
  <si>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</si>
  <si>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</si>
  <si>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</si>
  <si>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</si>
  <si>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</si>
  <si>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</si>
  <si>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</si>
  <si>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</si>
  <si>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</si>
  <si>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</si>
  <si>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</si>
  <si>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</si>
  <si>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</si>
  <si>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</si>
  <si>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</si>
  <si>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</si>
  <si>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</si>
  <si>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</si>
  <si>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</si>
  <si>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</si>
  <si>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</si>
  <si>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</si>
  <si>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</si>
  <si>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</si>
  <si>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</si>
  <si>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</si>
  <si>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</si>
  <si>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</si>
  <si>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</si>
  <si>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</si>
  <si>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</si>
  <si>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</si>
  <si>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</si>
  <si>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</si>
  <si>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</si>
  <si>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</si>
  <si>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</si>
  <si>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</si>
  <si>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</si>
  <si>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</si>
  <si>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</si>
  <si>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</si>
  <si>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</si>
  <si>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</si>
  <si>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</si>
  <si>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</si>
  <si>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</si>
  <si>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</si>
  <si>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</si>
  <si>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</si>
  <si>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</si>
  <si>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</si>
  <si>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</si>
  <si>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</si>
  <si>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</si>
  <si>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</si>
  <si>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</si>
  <si>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</si>
  <si>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</si>
  <si>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</si>
  <si>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</si>
  <si>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</si>
  <si>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</si>
  <si>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</si>
  <si>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</si>
  <si>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</si>
  <si>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</si>
  <si>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</si>
  <si>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</si>
  <si>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</si>
  <si>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</si>
  <si>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</si>
  <si>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</si>
  <si>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</si>
  <si>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</si>
  <si>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</si>
  <si>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</si>
  <si>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</si>
  <si>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</si>
  <si>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</si>
  <si>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</si>
  <si>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</si>
  <si>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</si>
  <si>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</si>
  <si>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</si>
  <si>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</si>
  <si>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</si>
  <si>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</si>
  <si>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</si>
  <si>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</si>
  <si>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</si>
  <si>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</si>
  <si>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</si>
  <si>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</si>
  <si>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</si>
  <si>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</si>
  <si>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</si>
  <si>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</si>
  <si>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</si>
  <si>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</si>
  <si>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</si>
  <si>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</si>
  <si>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</si>
  <si>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</si>
  <si>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</si>
  <si>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</si>
  <si>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</si>
  <si>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</si>
  <si>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</si>
  <si>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</si>
  <si>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</si>
  <si>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</si>
  <si>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</si>
  <si>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</si>
  <si>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</si>
  <si>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</si>
  <si>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</si>
  <si>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</si>
  <si>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</si>
  <si>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</si>
  <si>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</si>
  <si>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</si>
  <si>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</si>
  <si>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</si>
  <si>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</si>
  <si>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</si>
  <si>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</si>
  <si>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</si>
  <si>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</si>
  <si>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</si>
  <si>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</si>
  <si>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</si>
  <si>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</si>
  <si>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</si>
  <si>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</si>
  <si>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</si>
  <si>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</si>
  <si>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</si>
  <si>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</si>
  <si>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</si>
  <si>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</si>
  <si>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</si>
  <si>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</si>
  <si>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</si>
  <si>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</si>
  <si>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</si>
  <si>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</si>
  <si>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</si>
  <si>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</si>
  <si>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</si>
  <si>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</si>
  <si>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</si>
  <si>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</si>
  <si>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</si>
  <si>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</si>
  <si>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</si>
  <si>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</si>
  <si>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</si>
  <si>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</si>
  <si>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</si>
  <si>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</si>
  <si>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</si>
  <si>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</si>
  <si>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</si>
  <si>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</si>
  <si>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</si>
  <si>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</si>
  <si>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</si>
  <si>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</si>
  <si>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</si>
  <si>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</si>
  <si>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</si>
  <si>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</si>
  <si>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</si>
  <si>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</si>
  <si>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</si>
  <si>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</si>
  <si>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</si>
  <si>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</si>
  <si>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</si>
  <si>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</si>
  <si>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</si>
  <si>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</si>
  <si>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</si>
  <si>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</si>
  <si>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</si>
  <si>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</si>
  <si>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</si>
  <si>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</si>
  <si>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</si>
  <si>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</si>
  <si>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</si>
  <si>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</si>
  <si>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</si>
  <si>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</si>
  <si>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</si>
  <si>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</si>
  <si>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</si>
  <si>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</si>
  <si>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</si>
  <si>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</si>
  <si>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</si>
  <si>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</si>
  <si>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</si>
  <si>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</si>
  <si>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</si>
  <si>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</si>
  <si>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</si>
  <si>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</si>
  <si>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</si>
  <si>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</si>
  <si>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</si>
  <si>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</si>
  <si>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</si>
  <si>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</si>
  <si>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</si>
  <si>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</si>
  <si>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</si>
  <si>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</si>
  <si>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</si>
  <si>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</si>
  <si>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</si>
  <si>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</si>
  <si>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</si>
  <si>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</si>
  <si>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</si>
  <si>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</si>
  <si>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</si>
  <si>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</si>
  <si>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</si>
  <si>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</si>
  <si>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</si>
  <si>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</si>
  <si>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</si>
  <si>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</si>
  <si>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</si>
  <si>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</si>
  <si>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</si>
  <si>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</si>
  <si>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</si>
  <si>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</si>
  <si>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</si>
  <si>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</si>
  <si>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</si>
  <si>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</si>
  <si>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</si>
  <si>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</si>
  <si>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</si>
  <si>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</si>
  <si>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</si>
  <si>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</si>
  <si>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</si>
  <si>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</si>
  <si>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</si>
  <si>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</si>
  <si>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</si>
  <si>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</si>
  <si>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</si>
  <si>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</si>
  <si>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</si>
  <si>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</si>
  <si>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</si>
  <si>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</si>
  <si>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</si>
  <si>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</si>
  <si>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</si>
  <si>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</si>
  <si>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</si>
  <si>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</si>
  <si>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</si>
  <si>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</si>
  <si>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</si>
  <si>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</si>
  <si>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</si>
  <si>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</si>
  <si>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</si>
  <si>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</si>
  <si>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</si>
  <si>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</si>
  <si>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</si>
  <si>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</si>
  <si>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</si>
  <si>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</si>
  <si>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</si>
  <si>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</si>
  <si>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</si>
  <si>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</si>
  <si>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</si>
  <si>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</si>
  <si>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</si>
  <si>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</si>
  <si>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</si>
  <si>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</si>
  <si>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</si>
  <si>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</si>
  <si>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</si>
  <si>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</si>
  <si>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</si>
  <si>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</si>
  <si>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</si>
  <si>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</si>
  <si>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</si>
  <si>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</si>
  <si>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</si>
  <si>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</si>
  <si>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</si>
  <si>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</si>
  <si>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</si>
  <si>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</si>
  <si>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</si>
  <si>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</si>
  <si>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</si>
  <si>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</si>
  <si>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</si>
  <si>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</si>
  <si>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</si>
  <si>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</si>
  <si>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</si>
  <si>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</si>
  <si>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</si>
  <si>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</si>
  <si>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</si>
  <si>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</si>
  <si>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</si>
  <si>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</si>
  <si>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</si>
  <si>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</si>
  <si>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</si>
  <si>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</si>
  <si>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</si>
  <si>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</si>
  <si>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</si>
  <si>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</si>
  <si>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</si>
  <si>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</si>
  <si>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</si>
  <si>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</si>
  <si>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</si>
  <si>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</si>
  <si>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</si>
  <si>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</si>
  <si>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</si>
  <si>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</si>
  <si>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</si>
  <si>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</si>
  <si>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</si>
  <si>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</si>
  <si>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</si>
  <si>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</si>
  <si>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</si>
  <si>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</si>
  <si>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</si>
  <si>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</si>
  <si>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</si>
  <si>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</si>
  <si>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</si>
  <si>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</si>
  <si>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</si>
  <si>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</si>
  <si>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</si>
  <si>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</si>
  <si>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</si>
  <si>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</si>
  <si>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</si>
  <si>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</si>
  <si>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</si>
  <si>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</si>
  <si>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</si>
  <si>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</si>
  <si>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</si>
  <si>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</si>
  <si>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</si>
  <si>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</si>
  <si>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</si>
  <si>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</si>
  <si>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</si>
  <si>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</si>
  <si>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</si>
  <si>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</si>
  <si>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</si>
  <si>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</si>
  <si>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</si>
  <si>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</si>
  <si>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</si>
  <si>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</si>
  <si>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</si>
  <si>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</si>
  <si>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</si>
  <si>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</si>
  <si>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</si>
  <si>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</si>
  <si>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</si>
  <si>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</si>
  <si>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</si>
  <si>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</si>
  <si>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</si>
  <si>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</si>
  <si>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</si>
  <si>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</si>
  <si>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</si>
  <si>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</si>
  <si>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</si>
  <si>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</si>
  <si>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</si>
  <si>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</si>
  <si>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</si>
  <si>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</si>
  <si>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</si>
  <si>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</si>
  <si>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</si>
  <si>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</si>
  <si>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</si>
  <si>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</si>
  <si>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</si>
  <si>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</si>
  <si>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</si>
  <si>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</si>
  <si>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</si>
  <si>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</si>
  <si>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</si>
  <si>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</si>
  <si>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</si>
  <si>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</si>
  <si>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</si>
  <si>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</si>
  <si>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</si>
  <si>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</si>
  <si>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</si>
  <si>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</si>
  <si>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</si>
  <si>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</si>
  <si>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</si>
  <si>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</si>
  <si>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</si>
  <si>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</si>
  <si>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</si>
  <si>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</si>
  <si>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</si>
  <si>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</si>
  <si>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</si>
  <si>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</si>
  <si>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</si>
  <si>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</si>
  <si>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</si>
  <si>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</si>
  <si>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</si>
  <si>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</si>
  <si>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</si>
  <si>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</si>
  <si>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</si>
  <si>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</si>
  <si>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</si>
  <si>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</si>
  <si>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</si>
  <si>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</si>
  <si>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</si>
  <si>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</si>
  <si>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</si>
  <si>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</si>
  <si>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</si>
  <si>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</si>
  <si>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</si>
  <si>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</si>
  <si>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</si>
  <si>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</si>
  <si>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</si>
  <si>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</si>
  <si>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</si>
  <si>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</si>
  <si>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</si>
  <si>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</si>
  <si>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</si>
  <si>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</si>
  <si>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</si>
  <si>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</si>
  <si>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</si>
  <si>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</si>
  <si>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</si>
  <si>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</si>
  <si>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</si>
  <si>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</si>
  <si>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</si>
  <si>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</si>
  <si>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</si>
  <si>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</si>
  <si>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</si>
  <si>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</si>
  <si>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</si>
  <si>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</si>
  <si>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</si>
  <si>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</si>
  <si>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</si>
  <si>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</si>
  <si>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</si>
  <si>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</si>
  <si>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</si>
  <si>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</si>
  <si>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</si>
  <si>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</si>
  <si>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</si>
  <si>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</si>
  <si>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</si>
  <si>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</si>
  <si>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</si>
  <si>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</si>
  <si>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</si>
  <si>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</si>
  <si>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</si>
  <si>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</si>
  <si>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</si>
  <si>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</si>
  <si>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</si>
  <si>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</si>
  <si>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</si>
  <si>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</si>
  <si>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</si>
  <si>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</si>
  <si>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</si>
  <si>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</si>
  <si>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</si>
  <si>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</si>
  <si>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</si>
  <si>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</si>
  <si>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</si>
  <si>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</si>
  <si>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</si>
  <si>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</si>
  <si>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</si>
  <si>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</si>
  <si>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</si>
  <si>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</si>
  <si>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</si>
  <si>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</si>
  <si>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</si>
  <si>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</si>
  <si>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</si>
  <si>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</si>
  <si>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</si>
  <si>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</si>
  <si>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</si>
  <si>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</si>
  <si>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</si>
  <si>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</si>
  <si>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</si>
  <si>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</si>
  <si>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</si>
  <si>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</si>
  <si>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</si>
  <si>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</si>
  <si>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</si>
  <si>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</si>
  <si>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</si>
  <si>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</si>
  <si>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</si>
  <si>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</si>
  <si>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</si>
  <si>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</si>
  <si>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</si>
  <si>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</si>
  <si>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</si>
  <si>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</si>
  <si>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</si>
  <si>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</si>
  <si>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</si>
  <si>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</si>
  <si>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</si>
  <si>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</si>
  <si>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</si>
  <si>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</si>
  <si>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</si>
  <si>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</si>
  <si>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</si>
  <si>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</si>
  <si>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</si>
  <si>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</si>
  <si>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</si>
  <si>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</si>
  <si>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</si>
  <si>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</si>
  <si>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</si>
  <si>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</si>
  <si>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</si>
  <si>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</si>
  <si>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</si>
  <si>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</si>
  <si>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</si>
  <si>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</si>
  <si>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</si>
  <si>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</si>
  <si>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</si>
  <si>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</si>
  <si>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</si>
  <si>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</si>
  <si>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</si>
  <si>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</si>
  <si>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</si>
  <si>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</si>
  <si>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</si>
  <si>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</si>
  <si>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</si>
  <si>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</si>
  <si>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</si>
  <si>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</si>
  <si>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</si>
  <si>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</si>
  <si>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</si>
  <si>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</si>
  <si>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</si>
  <si>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</si>
  <si>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</si>
  <si>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</si>
  <si>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</si>
  <si>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</si>
  <si>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</si>
  <si>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</si>
  <si>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</si>
  <si>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</si>
  <si>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</si>
  <si>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</si>
  <si>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</si>
  <si>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</si>
  <si>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</si>
  <si>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</si>
  <si>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</si>
  <si>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</si>
  <si>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</si>
  <si>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</si>
  <si>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</si>
  <si>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</si>
  <si>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</si>
  <si>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</si>
  <si>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</si>
  <si>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</si>
  <si>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</si>
  <si>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</si>
  <si>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</si>
  <si>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</si>
  <si>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</si>
  <si>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</si>
  <si>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</si>
  <si>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</si>
  <si>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</si>
  <si>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</si>
  <si>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</si>
  <si>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</si>
  <si>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</si>
  <si>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</si>
  <si>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</si>
  <si>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</si>
  <si>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</si>
  <si>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</si>
  <si>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</si>
  <si>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</si>
  <si>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</si>
  <si>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</si>
  <si>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</si>
  <si>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</si>
  <si>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</si>
  <si>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</si>
  <si>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</si>
  <si>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</si>
  <si>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</si>
  <si>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</si>
  <si>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</si>
  <si>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</si>
  <si>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</si>
  <si>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</si>
  <si>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</si>
  <si>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</si>
  <si>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</si>
  <si>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</si>
  <si>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</si>
  <si>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</si>
  <si>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</si>
  <si>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</si>
  <si>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</si>
  <si>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</si>
  <si>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</si>
  <si>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</si>
  <si>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</si>
  <si>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</si>
  <si>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</si>
  <si>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</si>
  <si>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</si>
  <si>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</si>
  <si>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</si>
  <si>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</si>
  <si>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</si>
  <si>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</si>
  <si>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</si>
  <si>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</si>
  <si>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</si>
  <si>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</si>
  <si>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</si>
  <si>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</si>
  <si>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</si>
  <si>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</si>
  <si>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</si>
  <si>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</si>
  <si>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</si>
  <si>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</si>
  <si>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</si>
  <si>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</si>
  <si>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</si>
  <si>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</si>
  <si>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</si>
  <si>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</si>
  <si>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</si>
  <si>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</si>
  <si>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</si>
  <si>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</si>
  <si>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</si>
  <si>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</si>
  <si>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</si>
  <si>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</si>
  <si>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</si>
  <si>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</si>
  <si>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</si>
  <si>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</si>
  <si>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</si>
  <si>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</si>
  <si>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</si>
  <si>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</si>
  <si>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</si>
  <si>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</si>
  <si>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</si>
  <si>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</si>
  <si>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</si>
  <si>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</si>
  <si>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</si>
  <si>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</si>
  <si>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</si>
  <si>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</si>
  <si>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</si>
  <si>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</si>
  <si>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</si>
  <si>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</si>
  <si>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</si>
  <si>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</si>
  <si>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</si>
  <si>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</si>
  <si>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</si>
  <si>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</si>
  <si>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</si>
  <si>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</si>
  <si>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</si>
  <si>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</si>
  <si>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</si>
  <si>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</si>
  <si>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</si>
  <si>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</si>
  <si>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</si>
  <si>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</si>
  <si>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</si>
  <si>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</si>
  <si>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</si>
  <si>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</si>
  <si>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</si>
  <si>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</si>
  <si>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</si>
  <si>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</si>
  <si>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</si>
  <si>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</si>
  <si>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</si>
  <si>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</si>
  <si>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</si>
  <si>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</si>
  <si>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</si>
  <si>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</si>
  <si>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</si>
  <si>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</si>
  <si>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</si>
  <si>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</si>
  <si>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</si>
  <si>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</si>
  <si>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</si>
  <si>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</si>
  <si>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</si>
  <si>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</si>
  <si>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</si>
  <si>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</si>
  <si>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</si>
  <si>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</si>
  <si>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</si>
  <si>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</si>
  <si>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</si>
  <si>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</si>
  <si>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</si>
  <si>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</si>
  <si>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</si>
  <si>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</si>
  <si>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</si>
  <si>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</si>
  <si>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</si>
  <si>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</si>
  <si>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</si>
  <si>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</si>
  <si>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</si>
  <si>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</si>
  <si>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</si>
  <si>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</si>
  <si>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</si>
  <si>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</si>
  <si>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</si>
  <si>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</si>
  <si>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</si>
  <si>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</si>
  <si>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</si>
  <si>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</si>
  <si>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</si>
  <si>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</si>
  <si>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</si>
  <si>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</si>
  <si>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</si>
  <si>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</si>
  <si>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</si>
  <si>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</si>
  <si>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</si>
  <si>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</si>
  <si>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</si>
  <si>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</si>
  <si>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</si>
  <si>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</si>
  <si>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</si>
  <si>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</si>
  <si>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</si>
  <si>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</si>
  <si>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</si>
  <si>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</si>
  <si>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</si>
  <si>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</si>
  <si>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</si>
  <si>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</si>
  <si>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</si>
  <si>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</si>
  <si>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</si>
  <si>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</si>
  <si>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</si>
  <si>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</si>
  <si>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</si>
  <si>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</si>
  <si>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</si>
  <si>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</si>
  <si>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</si>
  <si>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</si>
  <si>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</si>
  <si>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</si>
  <si>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</si>
  <si>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</si>
  <si>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</si>
  <si>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</si>
  <si>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</si>
  <si>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</si>
  <si>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</si>
  <si>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</si>
  <si>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</si>
  <si>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</si>
  <si>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</si>
  <si>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</si>
  <si>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</si>
  <si>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</si>
  <si>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</si>
  <si>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</si>
  <si>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</si>
  <si>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</si>
  <si>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</si>
  <si>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</si>
  <si>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</si>
  <si>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</si>
  <si>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</si>
  <si>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</si>
  <si>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</si>
  <si>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</si>
  <si>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</si>
  <si>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</si>
  <si>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</si>
  <si>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</si>
  <si>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</si>
  <si>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</si>
  <si>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</si>
  <si>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</si>
  <si>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</si>
  <si>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</si>
  <si>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</si>
  <si>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</si>
  <si>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</si>
  <si>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</si>
  <si>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</si>
  <si>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</si>
  <si>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</si>
  <si>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</si>
  <si>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</si>
  <si>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</si>
  <si>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</si>
  <si>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</si>
  <si>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</si>
  <si>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</si>
  <si>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</si>
  <si>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</si>
  <si>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</si>
  <si>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</si>
  <si>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</si>
  <si>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</si>
  <si>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</si>
  <si>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</si>
  <si>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</si>
  <si>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</si>
  <si>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</si>
  <si>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</si>
  <si>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</si>
  <si>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</si>
  <si>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</si>
  <si>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</si>
  <si>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</si>
  <si>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</si>
  <si>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</si>
  <si>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</si>
  <si>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</si>
  <si>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</si>
  <si>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</si>
  <si>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</si>
  <si>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</si>
  <si>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</si>
  <si>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</si>
  <si>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</si>
  <si>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</si>
  <si>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</si>
  <si>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</si>
  <si>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</si>
  <si>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</si>
  <si>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</si>
  <si>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</si>
  <si>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</si>
  <si>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</si>
  <si>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</si>
  <si>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</si>
  <si>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</si>
  <si>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</si>
  <si>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</si>
  <si>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</si>
  <si>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</si>
  <si>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</si>
  <si>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</si>
  <si>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</si>
  <si>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</si>
  <si>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</si>
  <si>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</si>
  <si>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</si>
  <si>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</si>
  <si>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</si>
  <si>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</si>
  <si>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</si>
  <si>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</si>
  <si>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</si>
  <si>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</si>
  <si>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</si>
  <si>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</si>
  <si>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</si>
  <si>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</si>
  <si>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</si>
  <si>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</si>
  <si>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</si>
  <si>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</si>
  <si>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</si>
  <si>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</si>
  <si>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</si>
  <si>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</si>
  <si>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</si>
  <si>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</si>
  <si>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</si>
  <si>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</si>
  <si>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</si>
  <si>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</si>
  <si>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</si>
  <si>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</si>
  <si>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</si>
  <si>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</si>
  <si>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</si>
  <si>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</si>
  <si>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</si>
  <si>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</si>
  <si>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</si>
  <si>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</si>
  <si>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</si>
  <si>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</si>
  <si>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</si>
  <si>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</si>
  <si>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</si>
  <si>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</si>
  <si>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</si>
  <si>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</si>
  <si>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</si>
  <si>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</si>
  <si>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</si>
  <si>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</si>
  <si>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</si>
  <si>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</si>
  <si>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</si>
  <si>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</si>
  <si>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</si>
  <si>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</si>
  <si>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</si>
  <si>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</si>
  <si>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</si>
  <si>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</si>
  <si>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</si>
  <si>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</si>
  <si>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</si>
  <si>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</si>
  <si>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</si>
  <si>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</si>
  <si>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</si>
  <si>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</si>
  <si>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</si>
  <si>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</si>
  <si>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</si>
  <si>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</si>
  <si>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</si>
  <si>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</si>
  <si>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</si>
  <si>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</si>
  <si>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</si>
  <si>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</si>
  <si>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</si>
  <si>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</si>
  <si>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</si>
  <si>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</si>
  <si>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</si>
  <si>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</si>
  <si>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</si>
  <si>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</si>
  <si>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</si>
  <si>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</si>
  <si>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</si>
  <si>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</si>
  <si>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</si>
  <si>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</si>
  <si>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</si>
  <si>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</si>
  <si>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</si>
  <si>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</si>
  <si>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</si>
  <si>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</si>
  <si>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</si>
  <si>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</si>
  <si>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</si>
  <si>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</si>
  <si>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</si>
  <si>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</si>
  <si>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</si>
  <si>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</si>
  <si>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</si>
  <si>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</si>
  <si>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</si>
  <si>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</si>
  <si>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</si>
  <si>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</si>
  <si>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</si>
  <si>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</si>
  <si>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</si>
  <si>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</si>
  <si>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</si>
  <si>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</si>
  <si>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</si>
  <si>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</si>
  <si>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</si>
  <si>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</si>
  <si>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</si>
  <si>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</si>
  <si>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</si>
  <si>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</si>
  <si>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</si>
  <si>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</si>
  <si>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</si>
  <si>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</si>
  <si>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</si>
  <si>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</si>
  <si>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</si>
  <si>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</si>
  <si>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</si>
  <si>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</si>
  <si>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</si>
  <si>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</si>
  <si>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</si>
  <si>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</si>
  <si>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</si>
  <si>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</si>
  <si>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</si>
  <si>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</si>
  <si>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</si>
  <si>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</si>
  <si>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</si>
  <si>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</si>
  <si>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</si>
  <si>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</si>
  <si>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</si>
  <si>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</si>
  <si>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</si>
  <si>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</si>
  <si>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</si>
  <si>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</si>
  <si>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</si>
  <si>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</si>
  <si>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</si>
  <si>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</si>
  <si>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</si>
  <si>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</si>
  <si>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</si>
  <si>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</si>
  <si>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</si>
  <si>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</si>
  <si>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</si>
  <si>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</si>
  <si>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</si>
  <si>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</si>
  <si>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</si>
  <si>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</si>
  <si>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</si>
  <si>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</si>
  <si>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</si>
  <si>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</si>
  <si>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</si>
  <si>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</si>
  <si>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</si>
  <si>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</si>
  <si>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</si>
  <si>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</si>
  <si>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</si>
  <si>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</si>
  <si>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</si>
  <si>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</si>
  <si>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</si>
  <si>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</si>
  <si>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</si>
  <si>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</si>
  <si>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</si>
  <si>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</si>
  <si>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</si>
  <si>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</si>
  <si>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</si>
  <si>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</si>
  <si>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</si>
  <si>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</si>
  <si>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</si>
  <si>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</si>
  <si>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</si>
  <si>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</si>
  <si>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</si>
  <si>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</si>
  <si>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</si>
  <si>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</si>
  <si>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</si>
  <si>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</si>
  <si>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</si>
  <si>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</si>
  <si>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</si>
  <si>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</si>
  <si>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</si>
  <si>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</si>
  <si>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</si>
  <si>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</si>
  <si>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</si>
  <si>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</si>
  <si>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</si>
  <si>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</si>
  <si>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</si>
  <si>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</si>
  <si>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</si>
  <si>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</si>
  <si>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</si>
  <si>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</si>
  <si>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</si>
  <si>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</si>
  <si>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</si>
  <si>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</si>
  <si>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</si>
  <si>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</si>
  <si>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</si>
  <si>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</si>
  <si>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</si>
  <si>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</si>
  <si>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</si>
  <si>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</si>
  <si>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</si>
  <si>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</si>
  <si>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</si>
  <si>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</si>
  <si>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</si>
  <si>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</si>
  <si>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</si>
  <si>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</si>
  <si>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</si>
  <si>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</si>
  <si>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</si>
  <si>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</si>
  <si>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</si>
  <si>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</si>
  <si>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</si>
  <si>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</si>
  <si>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</si>
  <si>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</si>
  <si>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</si>
  <si>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</si>
  <si>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</si>
  <si>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</si>
  <si>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</si>
  <si>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</si>
  <si>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</si>
  <si>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</si>
  <si>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</si>
  <si>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</si>
  <si>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</si>
  <si>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</si>
  <si>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</si>
  <si>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</si>
  <si>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</si>
  <si>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</si>
  <si>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</si>
  <si>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</si>
  <si>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</si>
  <si>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</si>
  <si>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</si>
  <si>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</si>
  <si>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</si>
  <si>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</si>
  <si>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</si>
  <si>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</si>
  <si>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</si>
  <si>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</si>
  <si>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</si>
  <si>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</si>
  <si>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</si>
  <si>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</si>
  <si>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</si>
  <si>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</si>
  <si>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</si>
  <si>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</si>
  <si>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</si>
  <si>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</si>
  <si>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</si>
  <si>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</si>
  <si>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</si>
  <si>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</si>
  <si>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</si>
  <si>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</si>
  <si>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</si>
  <si>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</si>
  <si>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</si>
  <si>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</si>
  <si>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</si>
  <si>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</si>
  <si>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</si>
  <si>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</si>
  <si>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</si>
  <si>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</si>
  <si>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</si>
  <si>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</si>
  <si>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</si>
  <si>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</si>
  <si>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</si>
  <si>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</si>
  <si>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</si>
  <si>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</si>
  <si>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</si>
  <si>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</si>
  <si>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</si>
  <si>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</si>
  <si>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</si>
  <si>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</si>
  <si>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</si>
  <si>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</si>
  <si>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</si>
  <si>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</si>
  <si>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</si>
  <si>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</si>
  <si>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</si>
  <si>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</si>
  <si>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</si>
  <si>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</si>
  <si>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</si>
  <si>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</si>
  <si>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</si>
  <si>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</si>
  <si>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</si>
  <si>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</si>
  <si>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</si>
  <si>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</si>
  <si>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</si>
  <si>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</si>
  <si>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</si>
  <si>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</si>
  <si>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</si>
  <si>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</si>
  <si>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</si>
  <si>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</si>
  <si>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</si>
  <si>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</si>
  <si>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</si>
  <si>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</si>
  <si>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</si>
  <si>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</si>
  <si>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</si>
  <si>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</si>
  <si>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</si>
  <si>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</si>
  <si>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</si>
  <si>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</si>
  <si>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</si>
  <si>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</si>
  <si>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</si>
  <si>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</si>
  <si>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</si>
  <si>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</si>
  <si>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</si>
  <si>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</si>
  <si>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</si>
  <si>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</si>
  <si>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</si>
  <si>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</si>
  <si>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</si>
  <si>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</si>
  <si>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</si>
  <si>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</si>
  <si>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</si>
  <si>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</si>
  <si>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</si>
  <si>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</si>
  <si>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</si>
  <si>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</si>
  <si>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</si>
  <si>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</si>
  <si>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</si>
  <si>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</si>
  <si>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</si>
  <si>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</si>
  <si>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</si>
  <si>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</si>
  <si>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</si>
  <si>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</si>
  <si>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</si>
  <si>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</si>
  <si>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</si>
  <si>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</si>
  <si>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</si>
  <si>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</si>
  <si>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</si>
  <si>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</si>
  <si>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</si>
  <si>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</si>
  <si>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</si>
  <si>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</si>
  <si>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</si>
  <si>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</si>
  <si>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</si>
  <si>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</si>
  <si>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</si>
  <si>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</si>
  <si>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</si>
  <si>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</si>
  <si>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</si>
  <si>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</si>
  <si>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</si>
  <si>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</si>
  <si>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</si>
  <si>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</si>
  <si>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</si>
  <si>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</si>
  <si>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</si>
  <si>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</si>
  <si>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</si>
  <si>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</si>
  <si>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</si>
  <si>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</si>
  <si>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</si>
  <si>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</si>
  <si>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</si>
  <si>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</si>
  <si>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</si>
  <si>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</si>
  <si>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</si>
  <si>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</si>
  <si>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</si>
  <si>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</si>
  <si>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</si>
  <si>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</si>
  <si>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</si>
  <si>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</si>
  <si>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</si>
  <si>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</si>
  <si>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</si>
  <si>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</si>
  <si>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</si>
  <si>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</si>
  <si>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</si>
  <si>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</si>
  <si>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</si>
  <si>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</si>
  <si>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</si>
  <si>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</si>
  <si>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</si>
  <si>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</si>
  <si>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</si>
  <si>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</si>
  <si>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</si>
  <si>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</si>
  <si>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</si>
  <si>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</si>
  <si>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</si>
  <si>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</si>
  <si>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</si>
  <si>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</si>
  <si>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</si>
  <si>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</si>
  <si>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</si>
  <si>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</si>
  <si>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</si>
  <si>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</si>
  <si>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</si>
  <si>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</si>
  <si>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</si>
  <si>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</si>
  <si>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</si>
  <si>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</si>
  <si>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</si>
  <si>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</si>
  <si>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</si>
  <si>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</si>
  <si>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</si>
  <si>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</si>
  <si>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</si>
  <si>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</si>
  <si>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</si>
  <si>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</si>
  <si>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</si>
  <si>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</si>
  <si>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</si>
  <si>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</si>
  <si>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</si>
  <si>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</si>
  <si>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</si>
  <si>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</si>
  <si>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</si>
  <si>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</si>
  <si>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</si>
  <si>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</si>
  <si>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</si>
  <si>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</si>
  <si>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</si>
  <si>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</si>
  <si>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</si>
  <si>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</si>
  <si>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</si>
  <si>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</si>
  <si>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</si>
  <si>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</si>
  <si>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</si>
  <si>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</si>
  <si>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</si>
  <si>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</si>
  <si>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</si>
  <si>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</si>
  <si>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</si>
  <si>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</si>
  <si>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</si>
  <si>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</si>
  <si>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</si>
  <si>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</si>
  <si>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</si>
  <si>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</si>
  <si>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</si>
  <si>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</si>
  <si>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</si>
  <si>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</si>
  <si>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</si>
  <si>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</si>
  <si>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</si>
  <si>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</si>
  <si>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</si>
  <si>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</si>
  <si>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</si>
  <si>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</si>
  <si>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</si>
  <si>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</si>
  <si>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</si>
  <si>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</si>
  <si>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</si>
  <si>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</si>
  <si>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</si>
  <si>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</si>
  <si>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</si>
  <si>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</si>
  <si>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</si>
  <si>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</si>
  <si>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</si>
  <si>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</si>
  <si>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</si>
  <si>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</si>
  <si>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</si>
  <si>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</si>
  <si>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</si>
  <si>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</si>
  <si>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</si>
  <si>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</si>
  <si>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</si>
  <si>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</si>
  <si>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</si>
  <si>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</si>
  <si>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</si>
  <si>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</si>
  <si>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</si>
  <si>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</si>
  <si>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</si>
  <si>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</si>
  <si>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</si>
  <si>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</si>
  <si>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</si>
  <si>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</si>
  <si>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</si>
  <si>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</si>
  <si>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</si>
  <si>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</si>
  <si>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</si>
  <si>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</si>
  <si>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</si>
  <si>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</si>
  <si>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</si>
  <si>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</si>
  <si>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</si>
  <si>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</si>
  <si>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</si>
  <si>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</si>
  <si>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</si>
  <si>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</si>
  <si>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</si>
  <si>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</si>
  <si>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</si>
  <si>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</si>
  <si>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</si>
  <si>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</si>
  <si>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</si>
  <si>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</si>
  <si>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</si>
  <si>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</si>
  <si>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</si>
  <si>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</si>
  <si>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</si>
  <si>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</si>
  <si>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</si>
  <si>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</si>
  <si>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</si>
  <si>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</si>
  <si>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</si>
  <si>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</si>
  <si>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</si>
  <si>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</si>
  <si>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</si>
  <si>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</si>
  <si>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</si>
  <si>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</si>
  <si>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</si>
  <si>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</si>
  <si>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</si>
  <si>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</si>
  <si>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</si>
  <si>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</si>
  <si>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</si>
  <si>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</si>
  <si>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</si>
  <si>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</si>
  <si>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</si>
  <si>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</si>
  <si>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</si>
  <si>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</si>
  <si>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</si>
  <si>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</si>
  <si>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</si>
  <si>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</si>
  <si>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</si>
  <si>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</si>
  <si>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</si>
  <si>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</si>
  <si>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</si>
  <si>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</si>
  <si>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</si>
  <si>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</si>
  <si>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</si>
  <si>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</si>
  <si>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</si>
  <si>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</si>
  <si>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</si>
  <si>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</si>
  <si>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</si>
  <si>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</si>
  <si>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</si>
  <si>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</si>
  <si>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</si>
  <si>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</si>
  <si>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</si>
  <si>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</si>
  <si>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</si>
  <si>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</si>
  <si>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</si>
  <si>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</si>
  <si>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</si>
  <si>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</si>
  <si>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</si>
  <si>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</si>
  <si>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</si>
  <si>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</si>
  <si>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</si>
  <si>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</si>
  <si>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</si>
  <si>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</si>
  <si>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</si>
  <si>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</si>
  <si>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</si>
  <si>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</si>
  <si>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</si>
  <si>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</si>
  <si>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</si>
  <si>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</si>
  <si>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</si>
  <si>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</si>
  <si>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</si>
  <si>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</si>
  <si>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</si>
  <si>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</si>
  <si>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</si>
  <si>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</si>
  <si>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</si>
  <si>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</si>
  <si>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</si>
  <si>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</si>
  <si>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</si>
  <si>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</si>
  <si>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</si>
  <si>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</si>
  <si>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</si>
  <si>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</si>
  <si>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</si>
  <si>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</si>
  <si>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</si>
  <si>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</si>
  <si>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</si>
  <si>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</si>
  <si>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</si>
  <si>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</si>
  <si>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</si>
  <si>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</si>
  <si>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</si>
  <si>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</si>
  <si>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</si>
  <si>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</si>
  <si>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</si>
  <si>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</si>
  <si>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</si>
  <si>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</si>
  <si>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</si>
  <si>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</si>
  <si>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</si>
  <si>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</si>
  <si>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</si>
  <si>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</si>
  <si>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</si>
  <si>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</si>
  <si>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</si>
  <si>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</si>
  <si>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</si>
  <si>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</si>
  <si>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</si>
  <si>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</si>
  <si>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</si>
  <si>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</si>
  <si>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</si>
  <si>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</si>
  <si>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</si>
  <si>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</si>
  <si>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</si>
  <si>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</si>
  <si>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</si>
  <si>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</si>
  <si>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</si>
  <si>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</si>
  <si>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</si>
  <si>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</si>
  <si>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</si>
  <si>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</si>
  <si>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</si>
  <si>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</si>
  <si>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</si>
  <si>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</si>
  <si>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</si>
  <si>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</si>
  <si>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</si>
  <si>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</si>
  <si>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</si>
  <si>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</si>
  <si>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</si>
  <si>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</si>
  <si>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</si>
  <si>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</si>
  <si>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</si>
  <si>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</si>
  <si>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</si>
  <si>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</si>
  <si>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</si>
  <si>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</si>
  <si>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</si>
  <si>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</si>
  <si>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</si>
  <si>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</si>
  <si>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</si>
  <si>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</si>
  <si>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</si>
  <si>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</si>
  <si>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</si>
  <si>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</si>
  <si>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</si>
  <si>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</si>
  <si>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</si>
  <si>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</si>
  <si>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</si>
  <si>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</si>
  <si>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</si>
  <si>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</si>
  <si>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</si>
  <si>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</si>
  <si>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</si>
  <si>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</si>
  <si>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</si>
  <si>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</si>
  <si>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</si>
  <si>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</si>
  <si>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</si>
  <si>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</si>
  <si>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</si>
  <si>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</si>
  <si>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</si>
  <si>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</si>
  <si>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</si>
  <si>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</si>
  <si>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</si>
  <si>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</si>
  <si>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</si>
  <si>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</si>
  <si>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</si>
  <si>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</si>
  <si>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</si>
  <si>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</si>
  <si>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</si>
  <si>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</si>
  <si>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</si>
  <si>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</si>
  <si>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</si>
  <si>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</si>
  <si>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</si>
  <si>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</si>
  <si>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</si>
  <si>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</si>
  <si>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</si>
  <si>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</si>
  <si>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</si>
  <si>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</si>
  <si>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</si>
  <si>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</si>
  <si>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</si>
  <si>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</si>
  <si>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</si>
  <si>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</si>
  <si>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</si>
  <si>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</si>
  <si>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</si>
  <si>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</si>
  <si>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</si>
  <si>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</si>
  <si>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</si>
  <si>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</si>
  <si>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</si>
  <si>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</si>
  <si>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</si>
  <si>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</si>
  <si>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</si>
  <si>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</si>
  <si>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</si>
  <si>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</si>
  <si>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</si>
  <si>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</si>
  <si>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</si>
  <si>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</si>
  <si>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</si>
  <si>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</si>
  <si>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</si>
  <si>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</si>
  <si>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</si>
  <si>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</si>
  <si>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</si>
  <si>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</si>
  <si>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</si>
  <si>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</si>
  <si>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</si>
  <si>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</si>
  <si>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</si>
  <si>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</si>
  <si>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</si>
  <si>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</si>
  <si>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</si>
  <si>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</si>
  <si>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</si>
  <si>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</si>
  <si>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</si>
  <si>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</si>
  <si>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</si>
  <si>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</si>
  <si>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</si>
  <si>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</si>
  <si>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</si>
  <si>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</si>
  <si>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</si>
  <si>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</si>
  <si>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</si>
  <si>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</si>
  <si>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</si>
  <si>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</si>
  <si>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</si>
  <si>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</si>
  <si>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</si>
  <si>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</si>
  <si>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</si>
  <si>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</si>
  <si>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</si>
  <si>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</si>
  <si>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</si>
  <si>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</si>
  <si>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</si>
  <si>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</si>
  <si>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</si>
  <si>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</si>
  <si>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</si>
  <si>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</si>
  <si>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</si>
  <si>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</si>
  <si>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</si>
  <si>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</si>
  <si>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</si>
  <si>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</si>
  <si>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</si>
  <si>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</si>
  <si>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</si>
  <si>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</si>
  <si>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</si>
  <si>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</si>
  <si>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</si>
  <si>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</si>
  <si>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</si>
  <si>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</si>
  <si>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</si>
  <si>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</si>
  <si>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</si>
  <si>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</si>
  <si>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</si>
  <si>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</si>
  <si>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</si>
  <si>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</si>
  <si>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</si>
  <si>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</si>
  <si>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</si>
  <si>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</si>
  <si>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</si>
  <si>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</si>
  <si>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</si>
  <si>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</si>
  <si>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</si>
  <si>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</si>
  <si>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</si>
  <si>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</si>
  <si>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</si>
  <si>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</si>
  <si>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</si>
  <si>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</si>
  <si>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</si>
  <si>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</si>
  <si>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</si>
  <si>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</si>
  <si>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</si>
  <si>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</si>
  <si>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</si>
  <si>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</si>
  <si>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</si>
  <si>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</si>
  <si>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</si>
  <si>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</si>
  <si>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</si>
  <si>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</si>
  <si>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</si>
  <si>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</si>
  <si>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</si>
  <si>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</si>
  <si>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</si>
  <si>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</si>
  <si>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</si>
  <si>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</si>
  <si>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</si>
  <si>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</si>
  <si>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</si>
  <si>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</si>
  <si>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</si>
  <si>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</si>
  <si>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</si>
  <si>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</si>
  <si>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</si>
  <si>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</si>
  <si>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</si>
  <si>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</si>
  <si>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</si>
  <si>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</si>
  <si>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</si>
  <si>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</si>
  <si>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</si>
  <si>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</si>
  <si>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</si>
  <si>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</si>
  <si>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</si>
  <si>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</si>
  <si>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</si>
  <si>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</si>
  <si>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</si>
  <si>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</si>
  <si>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</si>
  <si>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</si>
  <si>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</si>
  <si>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</si>
  <si>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</si>
  <si>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</si>
  <si>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</si>
  <si>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</si>
  <si>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</si>
  <si>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</si>
  <si>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</si>
  <si>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</si>
  <si>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</si>
  <si>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</si>
  <si>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</si>
  <si>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</si>
  <si>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</si>
  <si>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</si>
  <si>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</si>
  <si>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</si>
  <si>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</si>
  <si>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</si>
  <si>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</si>
  <si>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</si>
  <si>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</si>
  <si>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</si>
  <si>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</si>
  <si>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</si>
  <si>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</si>
  <si>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</si>
  <si>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</si>
  <si>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</si>
  <si>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</si>
  <si>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</si>
  <si>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</si>
  <si>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</si>
  <si>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</si>
  <si>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</si>
  <si>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</si>
  <si>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</si>
  <si>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</si>
  <si>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</si>
  <si>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</si>
  <si>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</si>
  <si>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</si>
  <si>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</si>
  <si>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</si>
  <si>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</si>
  <si>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</si>
  <si>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</si>
  <si>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</si>
  <si>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</si>
  <si>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</si>
  <si>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</si>
  <si>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</si>
  <si>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</si>
  <si>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</si>
  <si>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</si>
  <si>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</si>
  <si>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</si>
  <si>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</si>
  <si>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</si>
  <si>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</si>
  <si>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</si>
  <si>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</si>
  <si>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</si>
  <si>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</si>
  <si>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</si>
  <si>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</si>
  <si>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</si>
  <si>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TRAVO</t>
  </si>
  <si>
    <t xml:space="preserve">Ventiseri</t>
  </si>
  <si>
    <t xml:space="preserve">06222195</t>
  </si>
  <si>
    <t xml:space="preserve">7178d - RCS Corse 2015</t>
  </si>
  <si>
    <t xml:space="preserve">rapide</t>
  </si>
  <si>
    <t xml:space="preserve">mouille</t>
  </si>
  <si>
    <t xml:space="preserve">faible</t>
  </si>
  <si>
    <t xml:space="preserve">peu abondant</t>
  </si>
  <si>
    <t xml:space="preserve">Cf.</t>
  </si>
  <si>
    <t xml:space="preserve">NEWCOD</t>
  </si>
  <si>
    <t xml:space="preserve">Klebsormidium sp.</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</si>
  <si>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</si>
  <si>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</si>
  <si>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</si>
  <si>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</si>
  <si>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</si>
  <si>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</si>
  <si>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</si>
  <si>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</si>
  <si>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</si>
  <si>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</si>
  <si>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</si>
  <si>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</si>
  <si>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radier</t>
  </si>
  <si>
    <t xml:space="preserve">cascade</t>
  </si>
  <si>
    <t xml:space="preserve">ch. lentique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</si>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</sst>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42185</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12.4545454545455</v>
      </c>
      <c r="N5" s="352"/>
      <c r="O5" s="353" t="s">
        <v>307</v>
      </c>
      <c r="P5" s="354" t="n">
        <v>12.3333333333333</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70</v>
      </c>
      <c r="C7" s="370" t="n">
        <v>30</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11.9285714285714</v>
      </c>
      <c r="P8" s="384" t="n">
        <f aca="false">IF(ISERROR(AVERAGE(K23:K82)),"  ",AVERAGE(K23:K82))</f>
        <v>1.42857142857143</v>
      </c>
      <c r="Q8" s="385"/>
      <c r="R8" s="309"/>
      <c r="S8" s="309"/>
      <c r="T8" s="309"/>
      <c r="U8" s="309"/>
      <c r="V8" s="309"/>
      <c r="W8" s="323"/>
    </row>
    <row r="9" customFormat="false" ht="12.75" hidden="false" customHeight="false" outlineLevel="0" collapsed="false">
      <c r="A9" s="342" t="s">
        <v>3394</v>
      </c>
      <c r="B9" s="386" t="n">
        <v>1.5</v>
      </c>
      <c r="C9" s="387" t="n">
        <v>2.1</v>
      </c>
      <c r="D9" s="388"/>
      <c r="E9" s="388"/>
      <c r="F9" s="389" t="n">
        <f aca="false">($B9*$B$7+$C9*$C$7)/100</f>
        <v>1.68</v>
      </c>
      <c r="G9" s="390"/>
      <c r="H9" s="345"/>
      <c r="I9" s="309"/>
      <c r="J9" s="391"/>
      <c r="K9" s="392"/>
      <c r="L9" s="375"/>
      <c r="M9" s="393"/>
      <c r="N9" s="383" t="s">
        <v>3395</v>
      </c>
      <c r="O9" s="384" t="n">
        <f aca="false">IF(ISERROR(STDEVP(J23:J82))," ",STDEVP(J23:J82))</f>
        <v>1.86946461832891</v>
      </c>
      <c r="P9" s="384" t="n">
        <f aca="false">IF(ISERROR(STDEVP(K23:K82)),"  ",STDEVP(K23:K82))</f>
        <v>0.494871659305394</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9</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16</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11</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5</v>
      </c>
      <c r="M13" s="409"/>
      <c r="N13" s="417" t="s">
        <v>3406</v>
      </c>
      <c r="O13" s="418" t="n">
        <f aca="false">COUNTIF(F23:F82,"&gt;0")</f>
        <v>26</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2</v>
      </c>
      <c r="M14" s="409"/>
      <c r="N14" s="420" t="s">
        <v>3409</v>
      </c>
      <c r="O14" s="421" t="n">
        <f aca="false">COUNTIF($J$23:$J$82,"&gt;-1")</f>
        <v>14</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7</v>
      </c>
      <c r="M15" s="409"/>
      <c r="N15" s="417" t="s">
        <v>3412</v>
      </c>
      <c r="O15" s="418" t="n">
        <f aca="false">COUNTIF(K23:K82,"=1")</f>
        <v>8</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6</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0.576923076923077</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1.036</v>
      </c>
      <c r="C20" s="461" t="n">
        <f aca="false">SUM(C23:C62)</f>
        <v>1.35</v>
      </c>
      <c r="D20" s="462"/>
      <c r="E20" s="463" t="s">
        <v>3419</v>
      </c>
      <c r="F20" s="464" t="n">
        <f aca="false">($B20*$B$7+$C20*$C$7)/100</f>
        <v>1.1302</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0.7252</v>
      </c>
      <c r="C21" s="472" t="n">
        <f aca="false">C20*C7/100</f>
        <v>0.405</v>
      </c>
      <c r="D21" s="473" t="s">
        <v>3422</v>
      </c>
      <c r="E21" s="474"/>
      <c r="F21" s="475" t="n">
        <f aca="false">B21+C21</f>
        <v>1.1302</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51</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0.0035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0.0035</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63</v>
      </c>
      <c r="B24" s="519" t="n">
        <v>0.005</v>
      </c>
      <c r="C24" s="520" t="n">
        <v>0.03</v>
      </c>
      <c r="D24" s="521" t="str">
        <f aca="false">IF(ISERROR(VLOOKUP($A24,'liste reference'!$A$6:$B$1174,2,0)),IF(ISERROR(VLOOKUP($A24,'liste reference'!$B$6:$B$1174,1,0)),"",VLOOKUP($A24,'liste reference'!$B$6:$B$1174,1,0)),VLOOKUP($A24,'liste reference'!$A$6:$B$1174,2,0))</f>
        <v>Batrachospermum sp.</v>
      </c>
      <c r="E24" s="522" t="e">
        <f aca="false">IF(D24="",0,VLOOKUP(D24,D$22:D23,1,0))</f>
        <v>#N/A</v>
      </c>
      <c r="F24" s="523" t="n">
        <f aca="false">IF(AND(OR(A24="",A24="!!!!!!"),B24="",C24=""),"",IF(OR(AND(B24="",C24=""),ISERROR(C24+B24)),"!!!",($B24*$B$7+$C24*$C$7)/100))</f>
        <v>0.0125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16</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Batrachospermum sp.</v>
      </c>
      <c r="M24" s="533"/>
      <c r="N24" s="533"/>
      <c r="O24" s="533"/>
      <c r="P24" s="528" t="s">
        <v>3442</v>
      </c>
      <c r="Q24" s="529" t="n">
        <f aca="false">IF(OR($A24="NEWCOD",$A24="!!!!!!"),IF(X24="","NoCod",X24),IF($A24="","",IF(ISERROR(VLOOKUP($A24,'liste reference'!$A$6:$H$1174,8,FALSE())),IF(ISERROR(VLOOKUP($A24,'liste reference'!$B$6:$H$1174,7,FALSE())),"",VLOOKUP($A24,'liste reference'!$B$6:$H$1174,7,FALSE())),VLOOKUP($A24,'liste reference'!$A$6:$H$1174,8,FALSE()))))</f>
        <v>1155</v>
      </c>
      <c r="R24" s="513" t="n">
        <f aca="false">IF(ISTEXT(H24),"",(B24*$B$7/100)+(C24*$C$7/100))</f>
        <v>0.0125</v>
      </c>
      <c r="S24" s="514" t="n">
        <f aca="false">IF(OR(ISTEXT(H24),R24=0),"",IF(R24&lt;0.1,1,IF(R24&lt;1,2,IF(R24&lt;10,3,IF(R24&lt;50,4,IF(R24&gt;=50,5,""))))))</f>
        <v>1</v>
      </c>
      <c r="T24" s="514" t="n">
        <f aca="false">IF(ISERROR(S24*J24),0,S24*J24)</f>
        <v>16</v>
      </c>
      <c r="U24" s="514" t="n">
        <f aca="false">IF(ISERROR(S24*J24*K24),0,S24*J24*K24)</f>
        <v>32</v>
      </c>
      <c r="V24" s="530" t="n">
        <f aca="false">IF(ISERROR(S24*K24),0,S24*K24)</f>
        <v>2</v>
      </c>
      <c r="W24" s="531"/>
      <c r="X24" s="532"/>
      <c r="Y24" s="517" t="str">
        <f aca="false">IF(AND(ISNUMBER(F24),OR(A24="",A24="!!!!!!")),"!!!!!!",IF(A24="new.cod","NEWCOD",IF(AND((Z24=""),ISTEXT(A24),A24&lt;&gt;"!!!!!!"),A24,IF(Z24="","",INDEX('liste reference'!$A$6:$A$1174,Z24)))))</f>
        <v>BATSPX</v>
      </c>
      <c r="Z24" s="499" t="n">
        <f aca="false">IF(ISERROR(MATCH(A24,'liste reference'!$A$6:$A$1174,0)),IF(ISERROR(MATCH(A24,'liste reference'!$B$6:$B$1174,0)),"",(MATCH(A24,'liste reference'!$B$6:$B$1174,0))),(MATCH(A24,'liste reference'!$A$6:$A$1174,0)))</f>
        <v>10</v>
      </c>
    </row>
    <row r="25" customFormat="false" ht="12.75" hidden="false" customHeight="false" outlineLevel="0" collapsed="false">
      <c r="A25" s="518" t="s">
        <v>76</v>
      </c>
      <c r="B25" s="519"/>
      <c r="C25" s="520" t="n">
        <v>0.005</v>
      </c>
      <c r="D25" s="521" t="str">
        <f aca="false">IF(ISERROR(VLOOKUP($A25,'liste reference'!$A$6:$B$1174,2,0)),IF(ISERROR(VLOOKUP($A25,'liste reference'!$B$6:$B$1174,1,0)),"",VLOOKUP($A25,'liste reference'!$B$6:$B$1174,1,0)),VLOOKUP($A25,'liste reference'!$A$6:$B$1174,2,0))</f>
        <v>Chaetophora sp.</v>
      </c>
      <c r="E25" s="522" t="e">
        <f aca="false">IF(D25="",0,VLOOKUP(D25,D$22:D24,1,0))</f>
        <v>#N/A</v>
      </c>
      <c r="F25" s="523" t="n">
        <f aca="false">IF(AND(OR(A25="",A25="!!!!!!"),B25="",C25=""),"",IF(OR(AND(B25="",C25=""),ISERROR(C25+B25)),"!!!",($B25*$B$7+$C25*$C$7)/100))</f>
        <v>0.0015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12</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Chaetophora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1117</v>
      </c>
      <c r="R25" s="513" t="n">
        <f aca="false">IF(ISTEXT(H25),"",(B25*$B$7/100)+(C25*$C$7/100))</f>
        <v>0.0015</v>
      </c>
      <c r="S25" s="514" t="n">
        <f aca="false">IF(OR(ISTEXT(H25),R25=0),"",IF(R25&lt;0.1,1,IF(R25&lt;1,2,IF(R25&lt;10,3,IF(R25&lt;50,4,IF(R25&gt;=50,5,""))))))</f>
        <v>1</v>
      </c>
      <c r="T25" s="514" t="n">
        <f aca="false">IF(ISERROR(S25*J25),0,S25*J25)</f>
        <v>12</v>
      </c>
      <c r="U25" s="514" t="n">
        <f aca="false">IF(ISERROR(S25*J25*K25),0,S25*J25*K25)</f>
        <v>24</v>
      </c>
      <c r="V25" s="530" t="n">
        <f aca="false">IF(ISERROR(S25*K25),0,S25*K25)</f>
        <v>2</v>
      </c>
      <c r="W25" s="531"/>
      <c r="X25" s="532"/>
      <c r="Y25" s="517" t="str">
        <f aca="false">IF(AND(ISNUMBER(F25),OR(A25="",A25="!!!!!!")),"!!!!!!",IF(A25="new.cod","NEWCOD",IF(AND((Z25=""),ISTEXT(A25),A25&lt;&gt;"!!!!!!"),A25,IF(Z25="","",INDEX('liste reference'!$A$6:$A$1174,Z25)))))</f>
        <v>CHESPX</v>
      </c>
      <c r="Z25" s="499" t="n">
        <f aca="false">IF(ISERROR(MATCH(A25,'liste reference'!$A$6:$A$1174,0)),IF(ISERROR(MATCH(A25,'liste reference'!$B$6:$B$1174,0)),"",(MATCH(A25,'liste reference'!$B$6:$B$1174,0))),(MATCH(A25,'liste reference'!$A$6:$A$1174,0)))</f>
        <v>14</v>
      </c>
    </row>
    <row r="26" customFormat="false" ht="12.75" hidden="false" customHeight="false" outlineLevel="0" collapsed="false">
      <c r="A26" s="518" t="s">
        <v>215</v>
      </c>
      <c r="B26" s="519" t="n">
        <v>0.03</v>
      </c>
      <c r="C26" s="520"/>
      <c r="D26" s="521" t="str">
        <f aca="false">IF(ISERROR(VLOOKUP($A26,'liste reference'!$A$6:$B$1174,2,0)),IF(ISERROR(VLOOKUP($A26,'liste reference'!$B$6:$B$1174,1,0)),"",VLOOKUP($A26,'liste reference'!$B$6:$B$1174,1,0)),VLOOKUP($A26,'liste reference'!$A$6:$B$1174,2,0))</f>
        <v>Lemanea sp.</v>
      </c>
      <c r="E26" s="522" t="e">
        <f aca="false">IF(D26="",0,VLOOKUP(D26,D$22:D25,1,0))</f>
        <v>#N/A</v>
      </c>
      <c r="F26" s="523" t="n">
        <f aca="false">IF(AND(OR(A26="",A26="!!!!!!"),B26="",C26=""),"",IF(OR(AND(B26="",C26=""),ISERROR(C26+B26)),"!!!",($B26*$B$7+$C26*$C$7)/100))</f>
        <v>0.021</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Lemanea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1159</v>
      </c>
      <c r="R26" s="513" t="n">
        <f aca="false">IF(ISTEXT(H26),"",(B26*$B$7/100)+(C26*$C$7/100))</f>
        <v>0.021</v>
      </c>
      <c r="S26" s="514" t="n">
        <f aca="false">IF(OR(ISTEXT(H26),R26=0),"",IF(R26&lt;0.1,1,IF(R26&lt;1,2,IF(R26&lt;10,3,IF(R26&lt;50,4,IF(R26&gt;=50,5,""))))))</f>
        <v>1</v>
      </c>
      <c r="T26" s="514" t="n">
        <f aca="false">IF(ISERROR(S26*J26),0,S26*J26)</f>
        <v>15</v>
      </c>
      <c r="U26" s="514" t="n">
        <f aca="false">IF(ISERROR(S26*J26*K26),0,S26*J26*K26)</f>
        <v>30</v>
      </c>
      <c r="V26" s="530" t="n">
        <f aca="false">IF(ISERROR(S26*K26),0,S26*K26)</f>
        <v>2</v>
      </c>
      <c r="W26" s="531"/>
      <c r="X26" s="532"/>
      <c r="Y26" s="517" t="str">
        <f aca="false">IF(AND(ISNUMBER(F26),OR(A26="",A26="!!!!!!")),"!!!!!!",IF(A26="new.cod","NEWCOD",IF(AND((Z26=""),ISTEXT(A26),A26&lt;&gt;"!!!!!!"),A26,IF(Z26="","",INDEX('liste reference'!$A$6:$A$1174,Z26)))))</f>
        <v>LEASPX</v>
      </c>
      <c r="Z26" s="499" t="n">
        <f aca="false">IF(ISERROR(MATCH(A26,'liste reference'!$A$6:$A$1174,0)),IF(ISERROR(MATCH(A26,'liste reference'!$B$6:$B$1174,0)),"",(MATCH(A26,'liste reference'!$B$6:$B$1174,0))),(MATCH(A26,'liste reference'!$A$6:$A$1174,0)))</f>
        <v>59</v>
      </c>
    </row>
    <row r="27" customFormat="false" ht="12.75" hidden="false" customHeight="false" outlineLevel="0" collapsed="false">
      <c r="A27" s="518" t="s">
        <v>237</v>
      </c>
      <c r="B27" s="519"/>
      <c r="C27" s="520" t="n">
        <v>0.03</v>
      </c>
      <c r="D27" s="521" t="str">
        <f aca="false">IF(ISERROR(VLOOKUP($A27,'liste reference'!$A$6:$B$1174,2,0)),IF(ISERROR(VLOOKUP($A27,'liste reference'!$B$6:$B$1174,1,0)),"",VLOOKUP($A27,'liste reference'!$B$6:$B$1174,1,0)),VLOOKUP($A27,'liste reference'!$A$6:$B$1174,2,0))</f>
        <v>Microspora sp.</v>
      </c>
      <c r="E27" s="522" t="e">
        <f aca="false">IF(D27="",0,VLOOKUP(D27,D$22:D26,1,0))</f>
        <v>#N/A</v>
      </c>
      <c r="F27" s="523" t="n">
        <f aca="false">IF(AND(OR(A27="",A27="!!!!!!"),B27="",C27=""),"",IF(OR(AND(B27="",C27=""),ISERROR(C27+B27)),"!!!",($B27*$B$7+$C27*$C$7)/100))</f>
        <v>0.009</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12</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Microspora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1132</v>
      </c>
      <c r="R27" s="513" t="n">
        <f aca="false">IF(ISTEXT(H27),"",(B27*$B$7/100)+(C27*$C$7/100))</f>
        <v>0.009</v>
      </c>
      <c r="S27" s="514" t="n">
        <f aca="false">IF(OR(ISTEXT(H27),R27=0),"",IF(R27&lt;0.1,1,IF(R27&lt;1,2,IF(R27&lt;10,3,IF(R27&lt;50,4,IF(R27&gt;=50,5,""))))))</f>
        <v>1</v>
      </c>
      <c r="T27" s="514" t="n">
        <f aca="false">IF(ISERROR(S27*J27),0,S27*J27)</f>
        <v>12</v>
      </c>
      <c r="U27" s="514" t="n">
        <f aca="false">IF(ISERROR(S27*J27*K27),0,S27*J27*K27)</f>
        <v>24</v>
      </c>
      <c r="V27" s="530" t="n">
        <f aca="false">IF(ISERROR(S27*K27),0,S27*K27)</f>
        <v>2</v>
      </c>
      <c r="W27" s="531"/>
      <c r="X27" s="532"/>
      <c r="Y27" s="517" t="str">
        <f aca="false">IF(AND(ISNUMBER(F27),OR(A27="",A27="!!!!!!")),"!!!!!!",IF(A27="new.cod","NEWCOD",IF(AND((Z27=""),ISTEXT(A27),A27&lt;&gt;"!!!!!!"),A27,IF(Z27="","",INDEX('liste reference'!$A$6:$A$1174,Z27)))))</f>
        <v>MICSPX</v>
      </c>
      <c r="Z27" s="499" t="n">
        <f aca="false">IF(ISERROR(MATCH(A27,'liste reference'!$A$6:$A$1174,0)),IF(ISERROR(MATCH(A27,'liste reference'!$B$6:$B$1174,0)),"",(MATCH(A27,'liste reference'!$B$6:$B$1174,0))),(MATCH(A27,'liste reference'!$A$6:$A$1174,0)))</f>
        <v>66</v>
      </c>
    </row>
    <row r="28" customFormat="false" ht="12.75" hidden="false" customHeight="false" outlineLevel="0" collapsed="false">
      <c r="A28" s="518" t="s">
        <v>232</v>
      </c>
      <c r="B28" s="519" t="n">
        <v>0.1</v>
      </c>
      <c r="C28" s="520" t="n">
        <v>0.15</v>
      </c>
      <c r="D28" s="521" t="str">
        <f aca="false">IF(ISERROR(VLOOKUP($A28,'liste reference'!$A$6:$B$1174,2,0)),IF(ISERROR(VLOOKUP($A28,'liste reference'!$B$6:$B$1174,1,0)),"",VLOOKUP($A28,'liste reference'!$B$6:$B$1174,1,0)),VLOOKUP($A28,'liste reference'!$A$6:$B$1174,2,0))</f>
        <v>Microcoleus sp.</v>
      </c>
      <c r="E28" s="522" t="e">
        <f aca="false">IF(D28="",0,VLOOKUP(D28,D$22:D27,1,0))</f>
        <v>#N/A</v>
      </c>
      <c r="F28" s="523" t="n">
        <f aca="false">IF(AND(OR(A28="",A28="!!!!!!"),B28="",C28=""),"",IF(OR(AND(B28="",C28=""),ISERROR(C28+B28)),"!!!",($B28*$B$7+$C28*$C$7)/100))</f>
        <v>0.115</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str">
        <f aca="false">IF(ISNUMBER($H28),IF(ISERROR(VLOOKUP($A28,'liste reference'!$A$6:$Q$1174,6,0)),IF(ISERROR(VLOOKUP($A28,'liste reference'!$B$6:$Q$1174,5,0)),"nu",VLOOKUP($A28,'liste reference'!$B$6:$Q$1174,5,0)),VLOOKUP($A28,'liste reference'!$A$6:$Q$1174,6,0)),"nu")</f>
        <v>nc</v>
      </c>
      <c r="K28" s="526" t="str">
        <f aca="false">IF(ISNUMBER($H28),IF(ISERROR(VLOOKUP($A28,'liste reference'!$A$6:$Q$1174,7,0)),IF(ISERROR(VLOOKUP($A28,'liste reference'!$B$6:$Q$1174,6,0)),"nu",VLOOKUP($A28,'liste reference'!$B$6:$Q$1174,6,0)),VLOOKUP($A28,'liste reference'!$A$6:$Q$1174,7,0)),"nu")</f>
        <v>nc</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Microcoleus sp.</v>
      </c>
      <c r="M28" s="527"/>
      <c r="N28" s="527"/>
      <c r="O28" s="527"/>
      <c r="P28" s="528" t="s">
        <v>3462</v>
      </c>
      <c r="Q28" s="529" t="n">
        <f aca="false">IF(OR($A28="NEWCOD",$A28="!!!!!!"),IF(X28="","NoCod",X28),IF($A28="","",IF(ISERROR(VLOOKUP($A28,'liste reference'!$A$6:$H$1174,8,FALSE())),IF(ISERROR(VLOOKUP($A28,'liste reference'!$B$6:$H$1174,7,FALSE())),"",VLOOKUP($A28,'liste reference'!$B$6:$H$1174,7,FALSE())),VLOOKUP($A28,'liste reference'!$A$6:$H$1174,8,FALSE()))))</f>
        <v>6405</v>
      </c>
      <c r="R28" s="513" t="n">
        <f aca="false">IF(ISTEXT(H28),"",(B28*$B$7/100)+(C28*$C$7/100))</f>
        <v>0.115</v>
      </c>
      <c r="S28" s="514" t="n">
        <f aca="false">IF(OR(ISTEXT(H28),R28=0),"",IF(R28&lt;0.1,1,IF(R28&lt;1,2,IF(R28&lt;10,3,IF(R28&lt;50,4,IF(R28&gt;=50,5,""))))))</f>
        <v>2</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MIRSPX</v>
      </c>
      <c r="Z28" s="499" t="n">
        <f aca="false">IF(ISERROR(MATCH(A28,'liste reference'!$A$6:$A$1174,0)),IF(ISERROR(MATCH(A28,'liste reference'!$B$6:$B$1174,0)),"",(MATCH(A28,'liste reference'!$B$6:$B$1174,0))),(MATCH(A28,'liste reference'!$A$6:$A$1174,0)))</f>
        <v>64</v>
      </c>
    </row>
    <row r="29" customFormat="false" ht="12.75" hidden="false" customHeight="false" outlineLevel="0" collapsed="false">
      <c r="A29" s="518" t="s">
        <v>289</v>
      </c>
      <c r="B29" s="519" t="n">
        <v>0.05</v>
      </c>
      <c r="C29" s="520" t="n">
        <v>0.05</v>
      </c>
      <c r="D29" s="521" t="str">
        <f aca="false">IF(ISERROR(VLOOKUP($A29,'liste reference'!$A$6:$B$1174,2,0)),IF(ISERROR(VLOOKUP($A29,'liste reference'!$B$6:$B$1174,1,0)),"",VLOOKUP($A29,'liste reference'!$B$6:$B$1174,1,0)),VLOOKUP($A29,'liste reference'!$A$6:$B$1174,2,0))</f>
        <v>Nostoc sp.</v>
      </c>
      <c r="E29" s="522" t="e">
        <f aca="false">IF(D29="",0,VLOOKUP(D29,D$22:D28,1,0))</f>
        <v>#N/A</v>
      </c>
      <c r="F29" s="523" t="n">
        <f aca="false">IF(AND(OR(A29="",A29="!!!!!!"),B29="",C29=""),"",IF(OR(AND(B29="",C29=""),ISERROR(C29+B29)),"!!!",($B29*$B$7+$C29*$C$7)/100))</f>
        <v>0.05</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9</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Nostoc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1105</v>
      </c>
      <c r="R29" s="513" t="n">
        <f aca="false">IF(ISTEXT(H29),"",(B29*$B$7/100)+(C29*$C$7/100))</f>
        <v>0.05</v>
      </c>
      <c r="S29" s="514" t="n">
        <f aca="false">IF(OR(ISTEXT(H29),R29=0),"",IF(R29&lt;0.1,1,IF(R29&lt;1,2,IF(R29&lt;10,3,IF(R29&lt;50,4,IF(R29&gt;=50,5,""))))))</f>
        <v>1</v>
      </c>
      <c r="T29" s="514" t="n">
        <f aca="false">IF(ISERROR(S29*J29),0,S29*J29)</f>
        <v>9</v>
      </c>
      <c r="U29" s="514" t="n">
        <f aca="false">IF(ISERROR(S29*J29*K29),0,S29*J29*K29)</f>
        <v>9</v>
      </c>
      <c r="V29" s="530" t="n">
        <f aca="false">IF(ISERROR(S29*K29),0,S29*K29)</f>
        <v>1</v>
      </c>
      <c r="W29" s="531"/>
      <c r="X29" s="532"/>
      <c r="Y29" s="517" t="str">
        <f aca="false">IF(AND(ISNUMBER(F29),OR(A29="",A29="!!!!!!")),"!!!!!!",IF(A29="new.cod","NEWCOD",IF(AND((Z29=""),ISTEXT(A29),A29&lt;&gt;"!!!!!!"),A29,IF(Z29="","",INDEX('liste reference'!$A$6:$A$1174,Z29)))))</f>
        <v>NOSSPX</v>
      </c>
      <c r="Z29" s="499" t="n">
        <f aca="false">IF(ISERROR(MATCH(A29,'liste reference'!$A$6:$A$1174,0)),IF(ISERROR(MATCH(A29,'liste reference'!$B$6:$B$1174,0)),"",(MATCH(A29,'liste reference'!$B$6:$B$1174,0))),(MATCH(A29,'liste reference'!$A$6:$A$1174,0)))</f>
        <v>84</v>
      </c>
    </row>
    <row r="30" customFormat="false" ht="12.75" hidden="false" customHeight="false" outlineLevel="0" collapsed="false">
      <c r="A30" s="518" t="s">
        <v>307</v>
      </c>
      <c r="B30" s="519" t="n">
        <v>0.5</v>
      </c>
      <c r="C30" s="520" t="n">
        <v>0.75</v>
      </c>
      <c r="D30" s="521" t="str">
        <f aca="false">IF(ISERROR(VLOOKUP($A30,'liste reference'!$A$6:$B$1174,2,0)),IF(ISERROR(VLOOKUP($A30,'liste reference'!$B$6:$B$1174,1,0)),"",VLOOKUP($A30,'liste reference'!$B$6:$B$1174,1,0)),VLOOKUP($A30,'liste reference'!$A$6:$B$1174,2,0))</f>
        <v>Phormidium sp.</v>
      </c>
      <c r="E30" s="522" t="e">
        <f aca="false">IF(D30="",0,VLOOKUP(D30,D$22:D29,1,0))</f>
        <v>#N/A</v>
      </c>
      <c r="F30" s="523" t="n">
        <f aca="false">IF(AND(OR(A30="",A30="!!!!!!"),B30="",C30=""),"",IF(OR(AND(B30="",C30=""),ISERROR(C30+B30)),"!!!",($B30*$B$7+$C30*$C$7)/100))</f>
        <v>0.575</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13</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Phormidium sp.</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6414</v>
      </c>
      <c r="R30" s="513" t="n">
        <f aca="false">IF(ISTEXT(H30),"",(B30*$B$7/100)+(C30*$C$7/100))</f>
        <v>0.575</v>
      </c>
      <c r="S30" s="514" t="n">
        <f aca="false">IF(OR(ISTEXT(H30),R30=0),"",IF(R30&lt;0.1,1,IF(R30&lt;1,2,IF(R30&lt;10,3,IF(R30&lt;50,4,IF(R30&gt;=50,5,""))))))</f>
        <v>2</v>
      </c>
      <c r="T30" s="514" t="n">
        <f aca="false">IF(ISERROR(S30*J30),0,S30*J30)</f>
        <v>26</v>
      </c>
      <c r="U30" s="514" t="n">
        <f aca="false">IF(ISERROR(S30*J30*K30),0,S30*J30*K30)</f>
        <v>52</v>
      </c>
      <c r="V30" s="530" t="n">
        <f aca="false">IF(ISERROR(S30*K30),0,S30*K30)</f>
        <v>4</v>
      </c>
      <c r="W30" s="531"/>
      <c r="X30" s="532"/>
      <c r="Y30" s="517" t="str">
        <f aca="false">IF(AND(ISNUMBER(F30),OR(A30="",A30="!!!!!!")),"!!!!!!",IF(A30="new.cod","NEWCOD",IF(AND((Z30=""),ISTEXT(A30),A30&lt;&gt;"!!!!!!"),A30,IF(Z30="","",INDEX('liste reference'!$A$6:$A$1174,Z30)))))</f>
        <v>PHOSPX</v>
      </c>
      <c r="Z30" s="499" t="n">
        <f aca="false">IF(ISERROR(MATCH(A30,'liste reference'!$A$6:$A$1174,0)),IF(ISERROR(MATCH(A30,'liste reference'!$B$6:$B$1174,0)),"",(MATCH(A30,'liste reference'!$B$6:$B$1174,0))),(MATCH(A30,'liste reference'!$A$6:$A$1174,0)))</f>
        <v>88</v>
      </c>
    </row>
    <row r="31" customFormat="false" ht="12.75" hidden="false" customHeight="false" outlineLevel="0" collapsed="false">
      <c r="A31" s="518" t="s">
        <v>334</v>
      </c>
      <c r="B31" s="519"/>
      <c r="C31" s="520" t="n">
        <v>0.005</v>
      </c>
      <c r="D31" s="521" t="str">
        <f aca="false">IF(ISERROR(VLOOKUP($A31,'liste reference'!$A$6:$B$1174,2,0)),IF(ISERROR(VLOOKUP($A31,'liste reference'!$B$6:$B$1174,1,0)),"",VLOOKUP($A31,'liste reference'!$B$6:$B$1174,1,0)),VLOOKUP($A31,'liste reference'!$A$6:$B$1174,2,0))</f>
        <v>Scytonema sp.</v>
      </c>
      <c r="E31" s="522" t="e">
        <f aca="false">IF(D31="",0,VLOOKUP(D31,D$22:D30,1,0))</f>
        <v>#N/A</v>
      </c>
      <c r="F31" s="523" t="n">
        <f aca="false">IF(AND(OR(A31="",A31="!!!!!!"),B31="",C31=""),"",IF(OR(AND(B31="",C31=""),ISERROR(C31+B31)),"!!!",($B31*$B$7+$C31*$C$7)/100))</f>
        <v>0.0015</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Scytonema sp.</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1114</v>
      </c>
      <c r="R31" s="513" t="n">
        <f aca="false">IF(ISTEXT(H31),"",(B31*$B$7/100)+(C31*$C$7/100))</f>
        <v>0.0015</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SCYSPX</v>
      </c>
      <c r="Z31" s="499" t="n">
        <f aca="false">IF(ISERROR(MATCH(A31,'liste reference'!$A$6:$A$1174,0)),IF(ISERROR(MATCH(A31,'liste reference'!$B$6:$B$1174,0)),"",(MATCH(A31,'liste reference'!$B$6:$B$1174,0))),(MATCH(A31,'liste reference'!$A$6:$A$1174,0)))</f>
        <v>99</v>
      </c>
    </row>
    <row r="32" customFormat="false" ht="12.75" hidden="false" customHeight="false" outlineLevel="0" collapsed="false">
      <c r="A32" s="518" t="s">
        <v>341</v>
      </c>
      <c r="B32" s="519" t="n">
        <v>0.05</v>
      </c>
      <c r="C32" s="520" t="n">
        <v>0.02</v>
      </c>
      <c r="D32" s="521" t="str">
        <f aca="false">IF(ISERROR(VLOOKUP($A32,'liste reference'!$A$6:$B$1174,2,0)),IF(ISERROR(VLOOKUP($A32,'liste reference'!$B$6:$B$1174,1,0)),"",VLOOKUP($A32,'liste reference'!$B$6:$B$1174,1,0)),VLOOKUP($A32,'liste reference'!$A$6:$B$1174,2,0))</f>
        <v>Spirogyra sp.</v>
      </c>
      <c r="E32" s="522" t="e">
        <f aca="false">IF(D32="",0,VLOOKUP(D32,D$22:D31,1,0))</f>
        <v>#N/A</v>
      </c>
      <c r="F32" s="523" t="n">
        <f aca="false">IF(AND(OR(A32="",A32="!!!!!!"),B32="",C32=""),"",IF(OR(AND(B32="",C32=""),ISERROR(C32+B32)),"!!!",($B32*$B$7+$C32*$C$7)/100))</f>
        <v>0.041</v>
      </c>
      <c r="G32" s="524" t="str">
        <f aca="false">IF(A32="","",IF(ISERROR(VLOOKUP($A32,'liste reference'!$A$6:$Q$1174,9,0)),IF(ISERROR(VLOOKUP($A32,'liste reference'!$B$6:$Q$1174,8,0)),"    -",VLOOKUP($A32,'liste reference'!$B$6:$Q$1174,8,0)),VLOOKUP($A32,'liste reference'!$A$6:$Q$1174,9,0)))</f>
        <v>ALG</v>
      </c>
      <c r="H32" s="525" t="n">
        <f aca="false">IF(A32="","x",IF(ISERROR(VLOOKUP($A32,'liste reference'!$A$6:$Q$1174,10,0)),IF(ISERROR(VLOOKUP($A32,'liste reference'!$B$6:$Q$1174,9,0)),"x",VLOOKUP($A32,'liste reference'!$B$6:$Q$1174,9,0)),VLOOKUP($A32,'liste reference'!$A$6:$Q$1174,10,0)))</f>
        <v>2</v>
      </c>
      <c r="I32" s="309" t="n">
        <f aca="false">IF(A32="","",1)</f>
        <v>1</v>
      </c>
      <c r="J32" s="526" t="n">
        <f aca="false">IF(ISNUMBER($H32),IF(ISERROR(VLOOKUP($A32,'liste reference'!$A$6:$Q$1174,6,0)),IF(ISERROR(VLOOKUP($A32,'liste reference'!$B$6:$Q$1174,5,0)),"nu",VLOOKUP($A32,'liste reference'!$B$6:$Q$1174,5,0)),VLOOKUP($A32,'liste reference'!$A$6:$Q$1174,6,0)),"nu")</f>
        <v>10</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Spirogyra sp.</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1147</v>
      </c>
      <c r="R32" s="513" t="n">
        <f aca="false">IF(ISTEXT(H32),"",(B32*$B$7/100)+(C32*$C$7/100))</f>
        <v>0.041</v>
      </c>
      <c r="S32" s="514" t="n">
        <f aca="false">IF(OR(ISTEXT(H32),R32=0),"",IF(R32&lt;0.1,1,IF(R32&lt;1,2,IF(R32&lt;10,3,IF(R32&lt;50,4,IF(R32&gt;=50,5,""))))))</f>
        <v>1</v>
      </c>
      <c r="T32" s="514" t="n">
        <f aca="false">IF(ISERROR(S32*J32),0,S32*J32)</f>
        <v>10</v>
      </c>
      <c r="U32" s="514" t="n">
        <f aca="false">IF(ISERROR(S32*J32*K32),0,S32*J32*K32)</f>
        <v>10</v>
      </c>
      <c r="V32" s="530" t="n">
        <f aca="false">IF(ISERROR(S32*K32),0,S32*K32)</f>
        <v>1</v>
      </c>
      <c r="W32" s="531"/>
      <c r="X32" s="532"/>
      <c r="Y32" s="517" t="str">
        <f aca="false">IF(AND(ISNUMBER(F32),OR(A32="",A32="!!!!!!")),"!!!!!!",IF(A32="new.cod","NEWCOD",IF(AND((Z32=""),ISTEXT(A32),A32&lt;&gt;"!!!!!!"),A32,IF(Z32="","",INDEX('liste reference'!$A$6:$A$1174,Z32)))))</f>
        <v>SPISPX</v>
      </c>
      <c r="Z32" s="499" t="n">
        <f aca="false">IF(ISERROR(MATCH(A32,'liste reference'!$A$6:$A$1174,0)),IF(ISERROR(MATCH(A32,'liste reference'!$B$6:$B$1174,0)),"",(MATCH(A32,'liste reference'!$B$6:$B$1174,0))),(MATCH(A32,'liste reference'!$A$6:$A$1174,0)))</f>
        <v>102</v>
      </c>
    </row>
    <row r="33" customFormat="false" ht="12.75" hidden="false" customHeight="false" outlineLevel="0" collapsed="false">
      <c r="A33" s="518" t="s">
        <v>353</v>
      </c>
      <c r="B33" s="519"/>
      <c r="C33" s="520" t="n">
        <v>0.01</v>
      </c>
      <c r="D33" s="521" t="str">
        <f aca="false">IF(ISERROR(VLOOKUP($A33,'liste reference'!$A$6:$B$1174,2,0)),IF(ISERROR(VLOOKUP($A33,'liste reference'!$B$6:$B$1174,1,0)),"",VLOOKUP($A33,'liste reference'!$B$6:$B$1174,1,0)),VLOOKUP($A33,'liste reference'!$A$6:$B$1174,2,0))</f>
        <v>Tetraspora sp.</v>
      </c>
      <c r="E33" s="522" t="e">
        <f aca="false">IF(D33="",0,VLOOKUP(D33,D$22:D32,1,0))</f>
        <v>#N/A</v>
      </c>
      <c r="F33" s="523" t="n">
        <f aca="false">IF(AND(OR(A33="",A33="!!!!!!"),B33="",C33=""),"",IF(OR(AND(B33="",C33=""),ISERROR(C33+B33)),"!!!",($B33*$B$7+$C33*$C$7)/100))</f>
        <v>0.003</v>
      </c>
      <c r="G33" s="524" t="str">
        <f aca="false">IF(A33="","",IF(ISERROR(VLOOKUP($A33,'liste reference'!$A$6:$Q$1174,9,0)),IF(ISERROR(VLOOKUP($A33,'liste reference'!$B$6:$Q$1174,8,0)),"    -",VLOOKUP($A33,'liste reference'!$B$6:$Q$1174,8,0)),VLOOKUP($A33,'liste reference'!$A$6:$Q$1174,9,0)))</f>
        <v>ALG</v>
      </c>
      <c r="H33" s="525" t="n">
        <f aca="false">IF(A33="","x",IF(ISERROR(VLOOKUP($A33,'liste reference'!$A$6:$Q$1174,10,0)),IF(ISERROR(VLOOKUP($A33,'liste reference'!$B$6:$Q$1174,9,0)),"x",VLOOKUP($A33,'liste reference'!$B$6:$Q$1174,9,0)),VLOOKUP($A33,'liste reference'!$A$6:$Q$1174,10,0)))</f>
        <v>2</v>
      </c>
      <c r="I33" s="309" t="n">
        <f aca="false">IF(A33="","",1)</f>
        <v>1</v>
      </c>
      <c r="J33" s="526" t="n">
        <f aca="false">IF(ISNUMBER($H33),IF(ISERROR(VLOOKUP($A33,'liste reference'!$A$6:$Q$1174,6,0)),IF(ISERROR(VLOOKUP($A33,'liste reference'!$B$6:$Q$1174,5,0)),"nu",VLOOKUP($A33,'liste reference'!$B$6:$Q$1174,5,0)),VLOOKUP($A33,'liste reference'!$A$6:$Q$1174,6,0)),"nu")</f>
        <v>12</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Tetraspora sp.</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1138</v>
      </c>
      <c r="R33" s="513" t="n">
        <f aca="false">IF(ISTEXT(H33),"",(B33*$B$7/100)+(C33*$C$7/100))</f>
        <v>0.003</v>
      </c>
      <c r="S33" s="514" t="n">
        <f aca="false">IF(OR(ISTEXT(H33),R33=0),"",IF(R33&lt;0.1,1,IF(R33&lt;1,2,IF(R33&lt;10,3,IF(R33&lt;50,4,IF(R33&gt;=50,5,""))))))</f>
        <v>1</v>
      </c>
      <c r="T33" s="514" t="n">
        <f aca="false">IF(ISERROR(S33*J33),0,S33*J33)</f>
        <v>12</v>
      </c>
      <c r="U33" s="514" t="n">
        <f aca="false">IF(ISERROR(S33*J33*K33),0,S33*J33*K33)</f>
        <v>12</v>
      </c>
      <c r="V33" s="530" t="n">
        <f aca="false">IF(ISERROR(S33*K33),0,S33*K33)</f>
        <v>1</v>
      </c>
      <c r="W33" s="531"/>
      <c r="X33" s="532"/>
      <c r="Y33" s="517" t="str">
        <f aca="false">IF(AND(ISNUMBER(F33),OR(A33="",A33="!!!!!!")),"!!!!!!",IF(A33="new.cod","NEWCOD",IF(AND((Z33=""),ISTEXT(A33),A33&lt;&gt;"!!!!!!"),A33,IF(Z33="","",INDEX('liste reference'!$A$6:$A$1174,Z33)))))</f>
        <v>TETSPX</v>
      </c>
      <c r="Z33" s="499" t="n">
        <f aca="false">IF(ISERROR(MATCH(A33,'liste reference'!$A$6:$A$1174,0)),IF(ISERROR(MATCH(A33,'liste reference'!$B$6:$B$1174,0)),"",(MATCH(A33,'liste reference'!$B$6:$B$1174,0))),(MATCH(A33,'liste reference'!$A$6:$A$1174,0)))</f>
        <v>107</v>
      </c>
    </row>
    <row r="34" customFormat="false" ht="12.75" hidden="false" customHeight="false" outlineLevel="0" collapsed="false">
      <c r="A34" s="518" t="s">
        <v>666</v>
      </c>
      <c r="B34" s="519" t="n">
        <v>0.005</v>
      </c>
      <c r="C34" s="520" t="n">
        <v>0.005</v>
      </c>
      <c r="D34" s="521" t="str">
        <f aca="false">IF(ISERROR(VLOOKUP($A34,'liste reference'!$A$6:$B$1174,2,0)),IF(ISERROR(VLOOKUP($A34,'liste reference'!$B$6:$B$1174,1,0)),"",VLOOKUP($A34,'liste reference'!$B$6:$B$1174,1,0)),VLOOKUP($A34,'liste reference'!$A$6:$B$1174,2,0))</f>
        <v>Bryum pseudotriquetrum</v>
      </c>
      <c r="E34" s="522" t="e">
        <f aca="false">IF(D34="",0,VLOOKUP(D34,D$22:D33,1,0))</f>
        <v>#N/A</v>
      </c>
      <c r="F34" s="523" t="n">
        <f aca="false">IF(AND(OR(A34="",A34="!!!!!!"),B34="",C34=""),"",IF(OR(AND(B34="",C34=""),ISERROR(C34+B34)),"!!!",($B34*$B$7+$C34*$C$7)/100))</f>
        <v>0.005</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Bryum pseudotriquetrum</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1274</v>
      </c>
      <c r="R34" s="513" t="n">
        <f aca="false">IF(ISTEXT(H34),"",(B34*$B$7/100)+(C34*$C$7/100))</f>
        <v>0.005</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BRYPSE</v>
      </c>
      <c r="Z34" s="499" t="n">
        <f aca="false">IF(ISERROR(MATCH(A34,'liste reference'!$A$6:$A$1174,0)),IF(ISERROR(MATCH(A34,'liste reference'!$B$6:$B$1174,0)),"",(MATCH(A34,'liste reference'!$B$6:$B$1174,0))),(MATCH(A34,'liste reference'!$A$6:$A$1174,0)))</f>
        <v>211</v>
      </c>
    </row>
    <row r="35" customFormat="false" ht="12.75" hidden="false" customHeight="false" outlineLevel="0" collapsed="false">
      <c r="A35" s="518" t="s">
        <v>692</v>
      </c>
      <c r="B35" s="519"/>
      <c r="C35" s="520" t="n">
        <v>0.005</v>
      </c>
      <c r="D35" s="521" t="str">
        <f aca="false">IF(ISERROR(VLOOKUP($A35,'liste reference'!$A$6:$B$1174,2,0)),IF(ISERROR(VLOOKUP($A35,'liste reference'!$B$6:$B$1174,1,0)),"",VLOOKUP($A35,'liste reference'!$B$6:$B$1174,1,0)),VLOOKUP($A35,'liste reference'!$A$6:$B$1174,2,0))</f>
        <v>Calliergonella cuspidata</v>
      </c>
      <c r="E35" s="522" t="e">
        <f aca="false">IF(D35="",0,VLOOKUP(D35,D$22:D34,1,0))</f>
        <v>#N/A</v>
      </c>
      <c r="F35" s="523" t="n">
        <f aca="false">IF(AND(OR(A35="",A35="!!!!!!"),B35="",C35=""),"",IF(OR(AND(B35="",C35=""),ISERROR(C35+B35)),"!!!",($B35*$B$7+$C35*$C$7)/100))</f>
        <v>0.0015</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Calliergonella cuspidata</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1228</v>
      </c>
      <c r="R35" s="513" t="n">
        <f aca="false">IF(ISTEXT(H35),"",(B35*$B$7/100)+(C35*$C$7/100))</f>
        <v>0.0015</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CAECUS</v>
      </c>
      <c r="Z35" s="499" t="n">
        <f aca="false">IF(ISERROR(MATCH(A35,'liste reference'!$A$6:$A$1174,0)),IF(ISERROR(MATCH(A35,'liste reference'!$B$6:$B$1174,0)),"",(MATCH(A35,'liste reference'!$B$6:$B$1174,0))),(MATCH(A35,'liste reference'!$A$6:$A$1174,0)))</f>
        <v>219</v>
      </c>
    </row>
    <row r="36" customFormat="false" ht="12.75" hidden="false" customHeight="false" outlineLevel="0" collapsed="false">
      <c r="A36" s="518" t="s">
        <v>887</v>
      </c>
      <c r="B36" s="519" t="n">
        <v>0.001</v>
      </c>
      <c r="C36" s="520"/>
      <c r="D36" s="521" t="str">
        <f aca="false">IF(ISERROR(VLOOKUP($A36,'liste reference'!$A$6:$B$1174,2,0)),IF(ISERROR(VLOOKUP($A36,'liste reference'!$B$6:$B$1174,1,0)),"",VLOOKUP($A36,'liste reference'!$B$6:$B$1174,1,0)),VLOOKUP($A36,'liste reference'!$A$6:$B$1174,2,0))</f>
        <v>Fontinalis antipyretica</v>
      </c>
      <c r="E36" s="522" t="e">
        <f aca="false">IF(D36="",0,VLOOKUP(D36,D$22:D35,1,0))</f>
        <v>#N/A</v>
      </c>
      <c r="F36" s="523" t="n">
        <f aca="false">IF(AND(OR(A36="",A36="!!!!!!"),B36="",C36=""),"",IF(OR(AND(B36="",C36=""),ISERROR(C36+B36)),"!!!",($B36*$B$7+$C36*$C$7)/100))</f>
        <v>0.0007</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10</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Fontinalis antipyretica</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1310</v>
      </c>
      <c r="R36" s="513" t="n">
        <f aca="false">IF(ISTEXT(H36),"",(B36*$B$7/100)+(C36*$C$7/100))</f>
        <v>0.0007</v>
      </c>
      <c r="S36" s="514" t="n">
        <f aca="false">IF(OR(ISTEXT(H36),R36=0),"",IF(R36&lt;0.1,1,IF(R36&lt;1,2,IF(R36&lt;10,3,IF(R36&lt;50,4,IF(R36&gt;=50,5,""))))))</f>
        <v>1</v>
      </c>
      <c r="T36" s="514" t="n">
        <f aca="false">IF(ISERROR(S36*J36),0,S36*J36)</f>
        <v>10</v>
      </c>
      <c r="U36" s="514" t="n">
        <f aca="false">IF(ISERROR(S36*J36*K36),0,S36*J36*K36)</f>
        <v>10</v>
      </c>
      <c r="V36" s="530" t="n">
        <f aca="false">IF(ISERROR(S36*K36),0,S36*K36)</f>
        <v>1</v>
      </c>
      <c r="W36" s="531"/>
      <c r="X36" s="532"/>
      <c r="Y36" s="517" t="str">
        <f aca="false">IF(AND(ISNUMBER(F36),OR(A36="",A36="!!!!!!")),"!!!!!!",IF(A36="new.cod","NEWCOD",IF(AND((Z36=""),ISTEXT(A36),A36&lt;&gt;"!!!!!!"),A36,IF(Z36="","",INDEX('liste reference'!$A$6:$A$1174,Z36)))))</f>
        <v>FONANT</v>
      </c>
      <c r="Z36" s="499" t="n">
        <f aca="false">IF(ISERROR(MATCH(A36,'liste reference'!$A$6:$A$1174,0)),IF(ISERROR(MATCH(A36,'liste reference'!$B$6:$B$1174,0)),"",(MATCH(A36,'liste reference'!$B$6:$B$1174,0))),(MATCH(A36,'liste reference'!$A$6:$A$1174,0)))</f>
        <v>273</v>
      </c>
    </row>
    <row r="37" customFormat="false" ht="12.75" hidden="false" customHeight="false" outlineLevel="0" collapsed="false">
      <c r="A37" s="518" t="s">
        <v>1002</v>
      </c>
      <c r="B37" s="519"/>
      <c r="C37" s="520" t="n">
        <v>0.005</v>
      </c>
      <c r="D37" s="521" t="str">
        <f aca="false">IF(ISERROR(VLOOKUP($A37,'liste reference'!$A$6:$B$1174,2,0)),IF(ISERROR(VLOOKUP($A37,'liste reference'!$B$6:$B$1174,1,0)),"",VLOOKUP($A37,'liste reference'!$B$6:$B$1174,1,0)),VLOOKUP($A37,'liste reference'!$A$6:$B$1174,2,0))</f>
        <v>Oxyrrhynchium speciosum </v>
      </c>
      <c r="E37" s="522" t="e">
        <f aca="false">IF(D37="",0,VLOOKUP(D37,D$22:D36,1,0))</f>
        <v>#N/A</v>
      </c>
      <c r="F37" s="523" t="n">
        <f aca="false">IF(AND(OR(A37="",A37="!!!!!!"),B37="",C37=""),"",IF(OR(AND(B37="",C37=""),ISERROR(C37+B37)),"!!!",($B37*$B$7+$C37*$C$7)/100))</f>
        <v>0.0015</v>
      </c>
      <c r="G37" s="524" t="str">
        <f aca="false">IF(A37="","",IF(ISERROR(VLOOKUP($A37,'liste reference'!$A$6:$Q$1174,9,0)),IF(ISERROR(VLOOKUP($A37,'liste reference'!$B$6:$Q$1174,8,0)),"    -",VLOOKUP($A37,'liste reference'!$B$6:$Q$1174,8,0)),VLOOKUP($A37,'liste reference'!$A$6:$Q$1174,9,0)))</f>
        <v>BRm</v>
      </c>
      <c r="H37" s="525" t="n">
        <f aca="false">IF(A37="","x",IF(ISERROR(VLOOKUP($A37,'liste reference'!$A$6:$Q$1174,10,0)),IF(ISERROR(VLOOKUP($A37,'liste reference'!$B$6:$Q$1174,9,0)),"x",VLOOKUP($A37,'liste reference'!$B$6:$Q$1174,9,0)),VLOOKUP($A37,'liste reference'!$A$6:$Q$1174,10,0)))</f>
        <v>5</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Oxyrrhynchium speciosum </v>
      </c>
      <c r="M37" s="527"/>
      <c r="N37" s="527"/>
      <c r="O37" s="527"/>
      <c r="P37" s="528" t="s">
        <v>3462</v>
      </c>
      <c r="Q37" s="529" t="n">
        <f aca="false">IF(OR($A37="NEWCOD",$A37="!!!!!!"),IF(X37="","NoCod",X37),IF($A37="","",IF(ISERROR(VLOOKUP($A37,'liste reference'!$A$6:$H$1174,8,FALSE())),IF(ISERROR(VLOOKUP($A37,'liste reference'!$B$6:$H$1174,7,FALSE())),"",VLOOKUP($A37,'liste reference'!$B$6:$H$1174,7,FALSE())),VLOOKUP($A37,'liste reference'!$A$6:$H$1174,8,FALSE()))))</f>
        <v>30099</v>
      </c>
      <c r="R37" s="513" t="n">
        <f aca="false">IF(ISTEXT(H37),"",(B37*$B$7/100)+(C37*$C$7/100))</f>
        <v>0.0015</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OXYSPE</v>
      </c>
      <c r="Z37" s="499" t="n">
        <f aca="false">IF(ISERROR(MATCH(A37,'liste reference'!$A$6:$A$1174,0)),IF(ISERROR(MATCH(A37,'liste reference'!$B$6:$B$1174,0)),"",(MATCH(A37,'liste reference'!$B$6:$B$1174,0))),(MATCH(A37,'liste reference'!$A$6:$A$1174,0)))</f>
        <v>308</v>
      </c>
    </row>
    <row r="38" customFormat="false" ht="12.75" hidden="false" customHeight="false" outlineLevel="0" collapsed="false">
      <c r="A38" s="518" t="s">
        <v>1120</v>
      </c>
      <c r="B38" s="519" t="n">
        <v>0.005</v>
      </c>
      <c r="C38" s="520" t="n">
        <v>0.005</v>
      </c>
      <c r="D38" s="521" t="str">
        <f aca="false">IF(ISERROR(VLOOKUP($A38,'liste reference'!$A$6:$B$1174,2,0)),IF(ISERROR(VLOOKUP($A38,'liste reference'!$B$6:$B$1174,1,0)),"",VLOOKUP($A38,'liste reference'!$B$6:$B$1174,1,0)),VLOOKUP($A38,'liste reference'!$A$6:$B$1174,2,0))</f>
        <v>Rhynchostegium riparioides</v>
      </c>
      <c r="E38" s="522" t="e">
        <f aca="false">IF(D38="",0,VLOOKUP(D38,D$22:D37,1,0))</f>
        <v>#N/A</v>
      </c>
      <c r="F38" s="523" t="n">
        <f aca="false">IF(AND(OR(A38="",A38="!!!!!!"),B38="",C38=""),"",IF(OR(AND(B38="",C38=""),ISERROR(C38+B38)),"!!!",($B38*$B$7+$C38*$C$7)/100))</f>
        <v>0.005</v>
      </c>
      <c r="G38" s="524" t="str">
        <f aca="false">IF(A38="","",IF(ISERROR(VLOOKUP($A38,'liste reference'!$A$6:$Q$1174,9,0)),IF(ISERROR(VLOOKUP($A38,'liste reference'!$B$6:$Q$1174,8,0)),"    -",VLOOKUP($A38,'liste reference'!$B$6:$Q$1174,8,0)),VLOOKUP($A38,'liste reference'!$A$6:$Q$1174,9,0)))</f>
        <v>BRm</v>
      </c>
      <c r="H38" s="525" t="n">
        <f aca="false">IF(A38="","x",IF(ISERROR(VLOOKUP($A38,'liste reference'!$A$6:$Q$1174,10,0)),IF(ISERROR(VLOOKUP($A38,'liste reference'!$B$6:$Q$1174,9,0)),"x",VLOOKUP($A38,'liste reference'!$B$6:$Q$1174,9,0)),VLOOKUP($A38,'liste reference'!$A$6:$Q$1174,10,0)))</f>
        <v>5</v>
      </c>
      <c r="I38" s="309" t="n">
        <f aca="false">IF(A38="","",1)</f>
        <v>1</v>
      </c>
      <c r="J38" s="526" t="n">
        <f aca="false">IF(ISNUMBER($H38),IF(ISERROR(VLOOKUP($A38,'liste reference'!$A$6:$Q$1174,6,0)),IF(ISERROR(VLOOKUP($A38,'liste reference'!$B$6:$Q$1174,5,0)),"nu",VLOOKUP($A38,'liste reference'!$B$6:$Q$1174,5,0)),VLOOKUP($A38,'liste reference'!$A$6:$Q$1174,6,0)),"nu")</f>
        <v>12</v>
      </c>
      <c r="K38" s="526" t="n">
        <f aca="false">IF(ISNUMBER($H38),IF(ISERROR(VLOOKUP($A38,'liste reference'!$A$6:$Q$1174,7,0)),IF(ISERROR(VLOOKUP($A38,'liste reference'!$B$6:$Q$1174,6,0)),"nu",VLOOKUP($A38,'liste reference'!$B$6:$Q$1174,6,0)),VLOOKUP($A38,'liste reference'!$A$6:$Q$1174,7,0)),"nu")</f>
        <v>1</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Rhynchostegium riparioides</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31691</v>
      </c>
      <c r="R38" s="513" t="n">
        <f aca="false">IF(ISTEXT(H38),"",(B38*$B$7/100)+(C38*$C$7/100))</f>
        <v>0.005</v>
      </c>
      <c r="S38" s="514" t="n">
        <f aca="false">IF(OR(ISTEXT(H38),R38=0),"",IF(R38&lt;0.1,1,IF(R38&lt;1,2,IF(R38&lt;10,3,IF(R38&lt;50,4,IF(R38&gt;=50,5,""))))))</f>
        <v>1</v>
      </c>
      <c r="T38" s="514" t="n">
        <f aca="false">IF(ISERROR(S38*J38),0,S38*J38)</f>
        <v>12</v>
      </c>
      <c r="U38" s="514" t="n">
        <f aca="false">IF(ISERROR(S38*J38*K38),0,S38*J38*K38)</f>
        <v>12</v>
      </c>
      <c r="V38" s="530" t="n">
        <f aca="false">IF(ISERROR(S38*K38),0,S38*K38)</f>
        <v>1</v>
      </c>
      <c r="W38" s="531"/>
      <c r="X38" s="532"/>
      <c r="Y38" s="517" t="str">
        <f aca="false">IF(AND(ISNUMBER(F38),OR(A38="",A38="!!!!!!")),"!!!!!!",IF(A38="new.cod","NEWCOD",IF(AND((Z38=""),ISTEXT(A38),A38&lt;&gt;"!!!!!!"),A38,IF(Z38="","",INDEX('liste reference'!$A$6:$A$1174,Z38)))))</f>
        <v>RHYRIP</v>
      </c>
      <c r="Z38" s="499" t="n">
        <f aca="false">IF(ISERROR(MATCH(A38,'liste reference'!$A$6:$A$1174,0)),IF(ISERROR(MATCH(A38,'liste reference'!$B$6:$B$1174,0)),"",(MATCH(A38,'liste reference'!$B$6:$B$1174,0))),(MATCH(A38,'liste reference'!$A$6:$A$1174,0)))</f>
        <v>345</v>
      </c>
    </row>
    <row r="39" customFormat="false" ht="12.75" hidden="false" customHeight="false" outlineLevel="0" collapsed="false">
      <c r="A39" s="518" t="s">
        <v>1253</v>
      </c>
      <c r="B39" s="519" t="n">
        <v>0.005</v>
      </c>
      <c r="C39" s="520" t="n">
        <v>0.05</v>
      </c>
      <c r="D39" s="521" t="str">
        <f aca="false">IF(ISERROR(VLOOKUP($A39,'liste reference'!$A$6:$B$1174,2,0)),IF(ISERROR(VLOOKUP($A39,'liste reference'!$B$6:$B$1174,1,0)),"",VLOOKUP($A39,'liste reference'!$B$6:$B$1174,1,0)),VLOOKUP($A39,'liste reference'!$A$6:$B$1174,2,0))</f>
        <v>Equisetum arvense</v>
      </c>
      <c r="E39" s="522" t="e">
        <f aca="false">IF(D39="",0,VLOOKUP(D39,D$22:D38,1,0))</f>
        <v>#N/A</v>
      </c>
      <c r="F39" s="523" t="n">
        <f aca="false">IF(AND(OR(A39="",A39="!!!!!!"),B39="",C39=""),"",IF(OR(AND(B39="",C39=""),ISERROR(C39+B39)),"!!!",($B39*$B$7+$C39*$C$7)/100))</f>
        <v>0.0185</v>
      </c>
      <c r="G39" s="524" t="str">
        <f aca="false">IF(A39="","",IF(ISERROR(VLOOKUP($A39,'liste reference'!$A$6:$Q$1174,9,0)),IF(ISERROR(VLOOKUP($A39,'liste reference'!$B$6:$Q$1174,8,0)),"    -",VLOOKUP($A39,'liste reference'!$B$6:$Q$1174,8,0)),VLOOKUP($A39,'liste reference'!$A$6:$Q$1174,9,0)))</f>
        <v>PTE</v>
      </c>
      <c r="H39" s="525" t="n">
        <f aca="false">IF(A39="","x",IF(ISERROR(VLOOKUP($A39,'liste reference'!$A$6:$Q$1174,10,0)),IF(ISERROR(VLOOKUP($A39,'liste reference'!$B$6:$Q$1174,9,0)),"x",VLOOKUP($A39,'liste reference'!$B$6:$Q$1174,9,0)),VLOOKUP($A39,'liste reference'!$A$6:$Q$1174,10,0)))</f>
        <v>6</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Equisetum arvense</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1384</v>
      </c>
      <c r="R39" s="513" t="n">
        <f aca="false">IF(ISTEXT(H39),"",(B39*$B$7/100)+(C39*$C$7/100))</f>
        <v>0.0185</v>
      </c>
      <c r="S39" s="514" t="n">
        <f aca="false">IF(OR(ISTEXT(H39),R39=0),"",IF(R39&lt;0.1,1,IF(R39&lt;1,2,IF(R39&lt;10,3,IF(R39&lt;50,4,IF(R39&gt;=50,5,""))))))</f>
        <v>1</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EQUARV</v>
      </c>
      <c r="Z39" s="499" t="n">
        <f aca="false">IF(ISERROR(MATCH(A39,'liste reference'!$A$6:$A$1174,0)),IF(ISERROR(MATCH(A39,'liste reference'!$B$6:$B$1174,0)),"",(MATCH(A39,'liste reference'!$B$6:$B$1174,0))),(MATCH(A39,'liste reference'!$A$6:$A$1174,0)))</f>
        <v>385</v>
      </c>
    </row>
    <row r="40" customFormat="false" ht="12.75" hidden="false" customHeight="false" outlineLevel="0" collapsed="false">
      <c r="A40" s="518" t="s">
        <v>1311</v>
      </c>
      <c r="B40" s="519" t="n">
        <v>0.25</v>
      </c>
      <c r="C40" s="520" t="n">
        <v>0.1</v>
      </c>
      <c r="D40" s="521" t="str">
        <f aca="false">IF(ISERROR(VLOOKUP($A40,'liste reference'!$A$6:$B$1174,2,0)),IF(ISERROR(VLOOKUP($A40,'liste reference'!$B$6:$B$1174,1,0)),"",VLOOKUP($A40,'liste reference'!$B$6:$B$1174,1,0)),VLOOKUP($A40,'liste reference'!$A$6:$B$1174,2,0))</f>
        <v>Osmunda regalis</v>
      </c>
      <c r="E40" s="522" t="e">
        <f aca="false">IF(D40="",0,VLOOKUP(D40,D$22:D39,1,0))</f>
        <v>#N/A</v>
      </c>
      <c r="F40" s="523" t="n">
        <f aca="false">IF(AND(OR(A40="",A40="!!!!!!"),B40="",C40=""),"",IF(OR(AND(B40="",C40=""),ISERROR(C40+B40)),"!!!",($B40*$B$7+$C40*$C$7)/100))</f>
        <v>0.205</v>
      </c>
      <c r="G40" s="524" t="str">
        <f aca="false">IF(A40="","",IF(ISERROR(VLOOKUP($A40,'liste reference'!$A$6:$Q$1174,9,0)),IF(ISERROR(VLOOKUP($A40,'liste reference'!$B$6:$Q$1174,8,0)),"    -",VLOOKUP($A40,'liste reference'!$B$6:$Q$1174,8,0)),VLOOKUP($A40,'liste reference'!$A$6:$Q$1174,9,0)))</f>
        <v>PTE</v>
      </c>
      <c r="H40" s="525" t="n">
        <f aca="false">IF(A40="","x",IF(ISERROR(VLOOKUP($A40,'liste reference'!$A$6:$Q$1174,10,0)),IF(ISERROR(VLOOKUP($A40,'liste reference'!$B$6:$Q$1174,9,0)),"x",VLOOKUP($A40,'liste reference'!$B$6:$Q$1174,9,0)),VLOOKUP($A40,'liste reference'!$A$6:$Q$1174,10,0)))</f>
        <v>6</v>
      </c>
      <c r="I40" s="309" t="n">
        <f aca="false">IF(A40="","",1)</f>
        <v>1</v>
      </c>
      <c r="J40" s="526" t="str">
        <f aca="false">IF(ISNUMBER($H40),IF(ISERROR(VLOOKUP($A40,'liste reference'!$A$6:$Q$1174,6,0)),IF(ISERROR(VLOOKUP($A40,'liste reference'!$B$6:$Q$1174,5,0)),"nu",VLOOKUP($A40,'liste reference'!$B$6:$Q$1174,5,0)),VLOOKUP($A40,'liste reference'!$A$6:$Q$1174,6,0)),"nu")</f>
        <v>nc</v>
      </c>
      <c r="K40" s="526" t="str">
        <f aca="false">IF(ISNUMBER($H40),IF(ISERROR(VLOOKUP($A40,'liste reference'!$A$6:$Q$1174,7,0)),IF(ISERROR(VLOOKUP($A40,'liste reference'!$B$6:$Q$1174,6,0)),"nu",VLOOKUP($A40,'liste reference'!$B$6:$Q$1174,6,0)),VLOOKUP($A40,'liste reference'!$A$6:$Q$1174,7,0)),"nu")</f>
        <v>nc</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Osmunda regalis</v>
      </c>
      <c r="M40" s="527"/>
      <c r="N40" s="527"/>
      <c r="O40" s="527"/>
      <c r="P40" s="528" t="s">
        <v>3442</v>
      </c>
      <c r="Q40" s="529" t="n">
        <f aca="false">IF(OR($A40="NEWCOD",$A40="!!!!!!"),IF(X40="","NoCod",X40),IF($A40="","",IF(ISERROR(VLOOKUP($A40,'liste reference'!$A$6:$H$1174,8,FALSE())),IF(ISERROR(VLOOKUP($A40,'liste reference'!$B$6:$H$1174,7,FALSE())),"",VLOOKUP($A40,'liste reference'!$B$6:$H$1174,7,FALSE())),VLOOKUP($A40,'liste reference'!$A$6:$H$1174,8,FALSE()))))</f>
        <v>1403</v>
      </c>
      <c r="R40" s="513" t="n">
        <f aca="false">IF(ISTEXT(H40),"",(B40*$B$7/100)+(C40*$C$7/100))</f>
        <v>0.205</v>
      </c>
      <c r="S40" s="514" t="n">
        <f aca="false">IF(OR(ISTEXT(H40),R40=0),"",IF(R40&lt;0.1,1,IF(R40&lt;1,2,IF(R40&lt;10,3,IF(R40&lt;50,4,IF(R40&gt;=50,5,""))))))</f>
        <v>2</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OSMREG</v>
      </c>
      <c r="Z40" s="499" t="n">
        <f aca="false">IF(ISERROR(MATCH(A40,'liste reference'!$A$6:$A$1174,0)),IF(ISERROR(MATCH(A40,'liste reference'!$B$6:$B$1174,0)),"",(MATCH(A40,'liste reference'!$B$6:$B$1174,0))),(MATCH(A40,'liste reference'!$A$6:$A$1174,0)))</f>
        <v>407</v>
      </c>
    </row>
    <row r="41" customFormat="false" ht="12.75" hidden="false" customHeight="false" outlineLevel="0" collapsed="false">
      <c r="A41" s="518" t="s">
        <v>2130</v>
      </c>
      <c r="B41" s="519"/>
      <c r="C41" s="520" t="n">
        <v>0.005</v>
      </c>
      <c r="D41" s="521" t="str">
        <f aca="false">IF(ISERROR(VLOOKUP($A41,'liste reference'!$A$6:$B$1174,2,0)),IF(ISERROR(VLOOKUP($A41,'liste reference'!$B$6:$B$1174,1,0)),"",VLOOKUP($A41,'liste reference'!$B$6:$B$1174,1,0)),VLOOKUP($A41,'liste reference'!$A$6:$B$1174,2,0))</f>
        <v>Lycopus europaeus</v>
      </c>
      <c r="E41" s="522" t="e">
        <f aca="false">IF(D41="",0,VLOOKUP(D41,D$22:D40,1,0))</f>
        <v>#N/A</v>
      </c>
      <c r="F41" s="523" t="n">
        <f aca="false">IF(AND(OR(A41="",A41="!!!!!!"),B41="",C41=""),"",IF(OR(AND(B41="",C41=""),ISERROR(C41+B41)),"!!!",($B41*$B$7+$C41*$C$7)/100))</f>
        <v>0.0015</v>
      </c>
      <c r="G41" s="524" t="str">
        <f aca="false">IF(A41="","",IF(ISERROR(VLOOKUP($A41,'liste reference'!$A$6:$Q$1174,9,0)),IF(ISERROR(VLOOKUP($A41,'liste reference'!$B$6:$Q$1174,8,0)),"    -",VLOOKUP($A41,'liste reference'!$B$6:$Q$1174,8,0)),VLOOKUP($A41,'liste reference'!$A$6:$Q$1174,9,0)))</f>
        <v>PHe</v>
      </c>
      <c r="H41" s="525" t="n">
        <f aca="false">IF(A41="","x",IF(ISERROR(VLOOKUP($A41,'liste reference'!$A$6:$Q$1174,10,0)),IF(ISERROR(VLOOKUP($A41,'liste reference'!$B$6:$Q$1174,9,0)),"x",VLOOKUP($A41,'liste reference'!$B$6:$Q$1174,9,0)),VLOOKUP($A41,'liste reference'!$A$6:$Q$1174,10,0)))</f>
        <v>8</v>
      </c>
      <c r="I41" s="309" t="n">
        <f aca="false">IF(A41="","",1)</f>
        <v>1</v>
      </c>
      <c r="J41" s="526" t="n">
        <f aca="false">IF(ISNUMBER($H41),IF(ISERROR(VLOOKUP($A41,'liste reference'!$A$6:$Q$1174,6,0)),IF(ISERROR(VLOOKUP($A41,'liste reference'!$B$6:$Q$1174,5,0)),"nu",VLOOKUP($A41,'liste reference'!$B$6:$Q$1174,5,0)),VLOOKUP($A41,'liste reference'!$A$6:$Q$1174,6,0)),"nu")</f>
        <v>11</v>
      </c>
      <c r="K41" s="526" t="n">
        <f aca="false">IF(ISNUMBER($H41),IF(ISERROR(VLOOKUP($A41,'liste reference'!$A$6:$Q$1174,7,0)),IF(ISERROR(VLOOKUP($A41,'liste reference'!$B$6:$Q$1174,6,0)),"nu",VLOOKUP($A41,'liste reference'!$B$6:$Q$1174,6,0)),VLOOKUP($A41,'liste reference'!$A$6:$Q$1174,7,0)),"nu")</f>
        <v>1</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Lycopus europaeus</v>
      </c>
      <c r="M41" s="527"/>
      <c r="N41" s="527"/>
      <c r="O41" s="527"/>
      <c r="P41" s="528" t="s">
        <v>3442</v>
      </c>
      <c r="Q41" s="529" t="n">
        <f aca="false">IF(OR($A41="NEWCOD",$A41="!!!!!!"),IF(X41="","NoCod",X41),IF($A41="","",IF(ISERROR(VLOOKUP($A41,'liste reference'!$A$6:$H$1174,8,FALSE())),IF(ISERROR(VLOOKUP($A41,'liste reference'!$B$6:$H$1174,7,FALSE())),"",VLOOKUP($A41,'liste reference'!$B$6:$H$1174,7,FALSE())),VLOOKUP($A41,'liste reference'!$A$6:$H$1174,8,FALSE()))))</f>
        <v>1789</v>
      </c>
      <c r="R41" s="513" t="n">
        <f aca="false">IF(ISTEXT(H41),"",(B41*$B$7/100)+(C41*$C$7/100))</f>
        <v>0.0015</v>
      </c>
      <c r="S41" s="514" t="n">
        <f aca="false">IF(OR(ISTEXT(H41),R41=0),"",IF(R41&lt;0.1,1,IF(R41&lt;1,2,IF(R41&lt;10,3,IF(R41&lt;50,4,IF(R41&gt;=50,5,""))))))</f>
        <v>1</v>
      </c>
      <c r="T41" s="514" t="n">
        <f aca="false">IF(ISERROR(S41*J41),0,S41*J41)</f>
        <v>11</v>
      </c>
      <c r="U41" s="514" t="n">
        <f aca="false">IF(ISERROR(S41*J41*K41),0,S41*J41*K41)</f>
        <v>11</v>
      </c>
      <c r="V41" s="530" t="n">
        <f aca="false">IF(ISERROR(S41*K41),0,S41*K41)</f>
        <v>1</v>
      </c>
      <c r="W41" s="531"/>
      <c r="X41" s="532"/>
      <c r="Y41" s="517" t="str">
        <f aca="false">IF(AND(ISNUMBER(F41),OR(A41="",A41="!!!!!!")),"!!!!!!",IF(A41="new.cod","NEWCOD",IF(AND((Z41=""),ISTEXT(A41),A41&lt;&gt;"!!!!!!"),A41,IF(Z41="","",INDEX('liste reference'!$A$6:$A$1174,Z41)))))</f>
        <v>LYCEUR</v>
      </c>
      <c r="Z41" s="499" t="n">
        <f aca="false">IF(ISERROR(MATCH(A41,'liste reference'!$A$6:$A$1174,0)),IF(ISERROR(MATCH(A41,'liste reference'!$B$6:$B$1174,0)),"",(MATCH(A41,'liste reference'!$B$6:$B$1174,0))),(MATCH(A41,'liste reference'!$A$6:$A$1174,0)))</f>
        <v>692</v>
      </c>
    </row>
    <row r="42" customFormat="false" ht="12.75" hidden="false" customHeight="false" outlineLevel="0" collapsed="false">
      <c r="A42" s="518" t="s">
        <v>2134</v>
      </c>
      <c r="B42" s="519" t="n">
        <v>0.005</v>
      </c>
      <c r="C42" s="520" t="n">
        <v>0.05</v>
      </c>
      <c r="D42" s="521" t="str">
        <f aca="false">IF(ISERROR(VLOOKUP($A42,'liste reference'!$A$6:$B$1174,2,0)),IF(ISERROR(VLOOKUP($A42,'liste reference'!$B$6:$B$1174,1,0)),"",VLOOKUP($A42,'liste reference'!$B$6:$B$1174,1,0)),VLOOKUP($A42,'liste reference'!$A$6:$B$1174,2,0))</f>
        <v>Mentha aquatica</v>
      </c>
      <c r="E42" s="522" t="e">
        <f aca="false">IF(D42="",0,VLOOKUP(D42,D$22:D41,1,0))</f>
        <v>#N/A</v>
      </c>
      <c r="F42" s="523" t="n">
        <f aca="false">IF(AND(OR(A42="",A42="!!!!!!"),B42="",C42=""),"",IF(OR(AND(B42="",C42=""),ISERROR(C42+B42)),"!!!",($B42*$B$7+$C42*$C$7)/100))</f>
        <v>0.0185</v>
      </c>
      <c r="G42" s="524" t="str">
        <f aca="false">IF(A42="","",IF(ISERROR(VLOOKUP($A42,'liste reference'!$A$6:$Q$1174,9,0)),IF(ISERROR(VLOOKUP($A42,'liste reference'!$B$6:$Q$1174,8,0)),"    -",VLOOKUP($A42,'liste reference'!$B$6:$Q$1174,8,0)),VLOOKUP($A42,'liste reference'!$A$6:$Q$1174,9,0)))</f>
        <v>PHe</v>
      </c>
      <c r="H42" s="525" t="n">
        <f aca="false">IF(A42="","x",IF(ISERROR(VLOOKUP($A42,'liste reference'!$A$6:$Q$1174,10,0)),IF(ISERROR(VLOOKUP($A42,'liste reference'!$B$6:$Q$1174,9,0)),"x",VLOOKUP($A42,'liste reference'!$B$6:$Q$1174,9,0)),VLOOKUP($A42,'liste reference'!$A$6:$Q$1174,10,0)))</f>
        <v>8</v>
      </c>
      <c r="I42" s="309" t="n">
        <f aca="false">IF(A42="","",1)</f>
        <v>1</v>
      </c>
      <c r="J42" s="526" t="n">
        <f aca="false">IF(ISNUMBER($H42),IF(ISERROR(VLOOKUP($A42,'liste reference'!$A$6:$Q$1174,6,0)),IF(ISERROR(VLOOKUP($A42,'liste reference'!$B$6:$Q$1174,5,0)),"nu",VLOOKUP($A42,'liste reference'!$B$6:$Q$1174,5,0)),VLOOKUP($A42,'liste reference'!$A$6:$Q$1174,6,0)),"nu")</f>
        <v>12</v>
      </c>
      <c r="K42" s="526" t="n">
        <f aca="false">IF(ISNUMBER($H42),IF(ISERROR(VLOOKUP($A42,'liste reference'!$A$6:$Q$1174,7,0)),IF(ISERROR(VLOOKUP($A42,'liste reference'!$B$6:$Q$1174,6,0)),"nu",VLOOKUP($A42,'liste reference'!$B$6:$Q$1174,6,0)),VLOOKUP($A42,'liste reference'!$A$6:$Q$1174,7,0)),"nu")</f>
        <v>1</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Mentha aquatica</v>
      </c>
      <c r="M42" s="527"/>
      <c r="N42" s="527"/>
      <c r="O42" s="527"/>
      <c r="P42" s="528" t="s">
        <v>3442</v>
      </c>
      <c r="Q42" s="529" t="n">
        <f aca="false">IF(OR($A42="NEWCOD",$A42="!!!!!!"),IF(X42="","NoCod",X42),IF($A42="","",IF(ISERROR(VLOOKUP($A42,'liste reference'!$A$6:$H$1174,8,FALSE())),IF(ISERROR(VLOOKUP($A42,'liste reference'!$B$6:$H$1174,7,FALSE())),"",VLOOKUP($A42,'liste reference'!$B$6:$H$1174,7,FALSE())),VLOOKUP($A42,'liste reference'!$A$6:$H$1174,8,FALSE()))))</f>
        <v>1791</v>
      </c>
      <c r="R42" s="513" t="n">
        <f aca="false">IF(ISTEXT(H42),"",(B42*$B$7/100)+(C42*$C$7/100))</f>
        <v>0.0185</v>
      </c>
      <c r="S42" s="514" t="n">
        <f aca="false">IF(OR(ISTEXT(H42),R42=0),"",IF(R42&lt;0.1,1,IF(R42&lt;1,2,IF(R42&lt;10,3,IF(R42&lt;50,4,IF(R42&gt;=50,5,""))))))</f>
        <v>1</v>
      </c>
      <c r="T42" s="514" t="n">
        <f aca="false">IF(ISERROR(S42*J42),0,S42*J42)</f>
        <v>12</v>
      </c>
      <c r="U42" s="514" t="n">
        <f aca="false">IF(ISERROR(S42*J42*K42),0,S42*J42*K42)</f>
        <v>12</v>
      </c>
      <c r="V42" s="530" t="n">
        <f aca="false">IF(ISERROR(S42*K42),0,S42*K42)</f>
        <v>1</v>
      </c>
      <c r="W42" s="531"/>
      <c r="X42" s="532"/>
      <c r="Y42" s="517" t="str">
        <f aca="false">IF(AND(ISNUMBER(F42),OR(A42="",A42="!!!!!!")),"!!!!!!",IF(A42="new.cod","NEWCOD",IF(AND((Z42=""),ISTEXT(A42),A42&lt;&gt;"!!!!!!"),A42,IF(Z42="","",INDEX('liste reference'!$A$6:$A$1174,Z42)))))</f>
        <v>MENAQU</v>
      </c>
      <c r="Z42" s="499" t="n">
        <f aca="false">IF(ISERROR(MATCH(A42,'liste reference'!$A$6:$A$1174,0)),IF(ISERROR(MATCH(A42,'liste reference'!$B$6:$B$1174,0)),"",(MATCH(A42,'liste reference'!$B$6:$B$1174,0))),(MATCH(A42,'liste reference'!$A$6:$A$1174,0)))</f>
        <v>694</v>
      </c>
    </row>
    <row r="43" customFormat="false" ht="12.75" hidden="false" customHeight="false" outlineLevel="0" collapsed="false">
      <c r="A43" s="518" t="s">
        <v>2168</v>
      </c>
      <c r="B43" s="519" t="n">
        <v>0.005</v>
      </c>
      <c r="C43" s="520" t="n">
        <v>0.005</v>
      </c>
      <c r="D43" s="521" t="str">
        <f aca="false">IF(ISERROR(VLOOKUP($A43,'liste reference'!$A$6:$B$1174,2,0)),IF(ISERROR(VLOOKUP($A43,'liste reference'!$B$6:$B$1174,1,0)),"",VLOOKUP($A43,'liste reference'!$B$6:$B$1174,1,0)),VLOOKUP($A43,'liste reference'!$A$6:$B$1174,2,0))</f>
        <v>Phalaris arundinacea</v>
      </c>
      <c r="E43" s="522" t="e">
        <f aca="false">IF(D43="",0,VLOOKUP(D43,D$22:D42,1,0))</f>
        <v>#N/A</v>
      </c>
      <c r="F43" s="523" t="n">
        <f aca="false">IF(AND(OR(A43="",A43="!!!!!!"),B43="",C43=""),"",IF(OR(AND(B43="",C43=""),ISERROR(C43+B43)),"!!!",($B43*$B$7+$C43*$C$7)/100))</f>
        <v>0.005</v>
      </c>
      <c r="G43" s="524" t="str">
        <f aca="false">IF(A43="","",IF(ISERROR(VLOOKUP($A43,'liste reference'!$A$6:$Q$1174,9,0)),IF(ISERROR(VLOOKUP($A43,'liste reference'!$B$6:$Q$1174,8,0)),"    -",VLOOKUP($A43,'liste reference'!$B$6:$Q$1174,8,0)),VLOOKUP($A43,'liste reference'!$A$6:$Q$1174,9,0)))</f>
        <v>PHe</v>
      </c>
      <c r="H43" s="525" t="n">
        <f aca="false">IF(A43="","x",IF(ISERROR(VLOOKUP($A43,'liste reference'!$A$6:$Q$1174,10,0)),IF(ISERROR(VLOOKUP($A43,'liste reference'!$B$6:$Q$1174,9,0)),"x",VLOOKUP($A43,'liste reference'!$B$6:$Q$1174,9,0)),VLOOKUP($A43,'liste reference'!$A$6:$Q$1174,10,0)))</f>
        <v>8</v>
      </c>
      <c r="I43" s="309" t="n">
        <f aca="false">IF(A43="","",1)</f>
        <v>1</v>
      </c>
      <c r="J43" s="526" t="n">
        <f aca="false">IF(ISNUMBER($H43),IF(ISERROR(VLOOKUP($A43,'liste reference'!$A$6:$Q$1174,6,0)),IF(ISERROR(VLOOKUP($A43,'liste reference'!$B$6:$Q$1174,5,0)),"nu",VLOOKUP($A43,'liste reference'!$B$6:$Q$1174,5,0)),VLOOKUP($A43,'liste reference'!$A$6:$Q$1174,6,0)),"nu")</f>
        <v>10</v>
      </c>
      <c r="K43" s="526" t="n">
        <f aca="false">IF(ISNUMBER($H43),IF(ISERROR(VLOOKUP($A43,'liste reference'!$A$6:$Q$1174,7,0)),IF(ISERROR(VLOOKUP($A43,'liste reference'!$B$6:$Q$1174,6,0)),"nu",VLOOKUP($A43,'liste reference'!$B$6:$Q$1174,6,0)),VLOOKUP($A43,'liste reference'!$A$6:$Q$1174,7,0)),"nu")</f>
        <v>1</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Phalaris arundinacea</v>
      </c>
      <c r="M43" s="527"/>
      <c r="N43" s="527"/>
      <c r="O43" s="527"/>
      <c r="P43" s="528" t="s">
        <v>3442</v>
      </c>
      <c r="Q43" s="529" t="n">
        <f aca="false">IF(OR($A43="NEWCOD",$A43="!!!!!!"),IF(X43="","NoCod",X43),IF($A43="","",IF(ISERROR(VLOOKUP($A43,'liste reference'!$A$6:$H$1174,8,FALSE())),IF(ISERROR(VLOOKUP($A43,'liste reference'!$B$6:$H$1174,7,FALSE())),"",VLOOKUP($A43,'liste reference'!$B$6:$H$1174,7,FALSE())),VLOOKUP($A43,'liste reference'!$A$6:$H$1174,8,FALSE()))))</f>
        <v>1577</v>
      </c>
      <c r="R43" s="513" t="n">
        <f aca="false">IF(ISTEXT(H43),"",(B43*$B$7/100)+(C43*$C$7/100))</f>
        <v>0.005</v>
      </c>
      <c r="S43" s="514" t="n">
        <f aca="false">IF(OR(ISTEXT(H43),R43=0),"",IF(R43&lt;0.1,1,IF(R43&lt;1,2,IF(R43&lt;10,3,IF(R43&lt;50,4,IF(R43&gt;=50,5,""))))))</f>
        <v>1</v>
      </c>
      <c r="T43" s="514" t="n">
        <f aca="false">IF(ISERROR(S43*J43),0,S43*J43)</f>
        <v>10</v>
      </c>
      <c r="U43" s="514" t="n">
        <f aca="false">IF(ISERROR(S43*J43*K43),0,S43*J43*K43)</f>
        <v>10</v>
      </c>
      <c r="V43" s="530" t="n">
        <f aca="false">IF(ISERROR(S43*K43),0,S43*K43)</f>
        <v>1</v>
      </c>
      <c r="W43" s="531"/>
      <c r="X43" s="532"/>
      <c r="Y43" s="517" t="str">
        <f aca="false">IF(AND(ISNUMBER(F43),OR(A43="",A43="!!!!!!")),"!!!!!!",IF(A43="new.cod","NEWCOD",IF(AND((Z43=""),ISTEXT(A43),A43&lt;&gt;"!!!!!!"),A43,IF(Z43="","",INDEX('liste reference'!$A$6:$A$1174,Z43)))))</f>
        <v>PHAARU</v>
      </c>
      <c r="Z43" s="499" t="n">
        <f aca="false">IF(ISERROR(MATCH(A43,'liste reference'!$A$6:$A$1174,0)),IF(ISERROR(MATCH(A43,'liste reference'!$B$6:$B$1174,0)),"",(MATCH(A43,'liste reference'!$B$6:$B$1174,0))),(MATCH(A43,'liste reference'!$A$6:$A$1174,0)))</f>
        <v>707</v>
      </c>
    </row>
    <row r="44" customFormat="false" ht="12.75" hidden="false" customHeight="false" outlineLevel="0" collapsed="false">
      <c r="A44" s="518" t="s">
        <v>2477</v>
      </c>
      <c r="B44" s="519" t="n">
        <v>0.005</v>
      </c>
      <c r="C44" s="520" t="n">
        <v>0.02</v>
      </c>
      <c r="D44" s="521" t="str">
        <f aca="false">IF(ISERROR(VLOOKUP($A44,'liste reference'!$A$6:$B$1174,2,0)),IF(ISERROR(VLOOKUP($A44,'liste reference'!$B$6:$B$1174,1,0)),"",VLOOKUP($A44,'liste reference'!$B$6:$B$1174,1,0)),VLOOKUP($A44,'liste reference'!$A$6:$B$1174,2,0))</f>
        <v>Cyperus longus</v>
      </c>
      <c r="E44" s="522" t="e">
        <f aca="false">IF(D44="",0,VLOOKUP(D44,D$22:D43,1,0))</f>
        <v>#N/A</v>
      </c>
      <c r="F44" s="523" t="n">
        <f aca="false">IF(AND(OR(A44="",A44="!!!!!!"),B44="",C44=""),"",IF(OR(AND(B44="",C44=""),ISERROR(C44+B44)),"!!!",($B44*$B$7+$C44*$C$7)/100))</f>
        <v>0.0095</v>
      </c>
      <c r="G44" s="524" t="str">
        <f aca="false">IF(A44="","",IF(ISERROR(VLOOKUP($A44,'liste reference'!$A$6:$Q$1174,9,0)),IF(ISERROR(VLOOKUP($A44,'liste reference'!$B$6:$Q$1174,8,0)),"    -",VLOOKUP($A44,'liste reference'!$B$6:$Q$1174,8,0)),VLOOKUP($A44,'liste reference'!$A$6:$Q$1174,9,0)))</f>
        <v>PHg</v>
      </c>
      <c r="H44" s="525" t="n">
        <f aca="false">IF(A44="","x",IF(ISERROR(VLOOKUP($A44,'liste reference'!$A$6:$Q$1174,10,0)),IF(ISERROR(VLOOKUP($A44,'liste reference'!$B$6:$Q$1174,9,0)),"x",VLOOKUP($A44,'liste reference'!$B$6:$Q$1174,9,0)),VLOOKUP($A44,'liste reference'!$A$6:$Q$1174,10,0)))</f>
        <v>9</v>
      </c>
      <c r="I44" s="309" t="n">
        <f aca="false">IF(A44="","",1)</f>
        <v>1</v>
      </c>
      <c r="J44" s="526" t="str">
        <f aca="false">IF(ISNUMBER($H44),IF(ISERROR(VLOOKUP($A44,'liste reference'!$A$6:$Q$1174,6,0)),IF(ISERROR(VLOOKUP($A44,'liste reference'!$B$6:$Q$1174,5,0)),"nu",VLOOKUP($A44,'liste reference'!$B$6:$Q$1174,5,0)),VLOOKUP($A44,'liste reference'!$A$6:$Q$1174,6,0)),"nu")</f>
        <v>nc</v>
      </c>
      <c r="K44" s="526" t="str">
        <f aca="false">IF(ISNUMBER($H44),IF(ISERROR(VLOOKUP($A44,'liste reference'!$A$6:$Q$1174,7,0)),IF(ISERROR(VLOOKUP($A44,'liste reference'!$B$6:$Q$1174,6,0)),"nu",VLOOKUP($A44,'liste reference'!$B$6:$Q$1174,6,0)),VLOOKUP($A44,'liste reference'!$A$6:$Q$1174,7,0)),"nu")</f>
        <v>nc</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Cyperus longus</v>
      </c>
      <c r="M44" s="527"/>
      <c r="N44" s="527"/>
      <c r="O44" s="527"/>
      <c r="P44" s="528" t="s">
        <v>3442</v>
      </c>
      <c r="Q44" s="529" t="n">
        <f aca="false">IF(OR($A44="NEWCOD",$A44="!!!!!!"),IF(X44="","NoCod",X44),IF($A44="","",IF(ISERROR(VLOOKUP($A44,'liste reference'!$A$6:$H$1174,8,FALSE())),IF(ISERROR(VLOOKUP($A44,'liste reference'!$B$6:$H$1174,7,FALSE())),"",VLOOKUP($A44,'liste reference'!$B$6:$H$1174,7,FALSE())),VLOOKUP($A44,'liste reference'!$A$6:$H$1174,8,FALSE()))))</f>
        <v>1500</v>
      </c>
      <c r="R44" s="513" t="n">
        <f aca="false">IF(ISTEXT(H44),"",(B44*$B$7/100)+(C44*$C$7/100))</f>
        <v>0.0095</v>
      </c>
      <c r="S44" s="514" t="n">
        <f aca="false">IF(OR(ISTEXT(H44),R44=0),"",IF(R44&lt;0.1,1,IF(R44&lt;1,2,IF(R44&lt;10,3,IF(R44&lt;50,4,IF(R44&gt;=50,5,""))))))</f>
        <v>1</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CYPLON</v>
      </c>
      <c r="Z44" s="499" t="n">
        <f aca="false">IF(ISERROR(MATCH(A44,'liste reference'!$A$6:$A$1174,0)),IF(ISERROR(MATCH(A44,'liste reference'!$B$6:$B$1174,0)),"",(MATCH(A44,'liste reference'!$B$6:$B$1174,0))),(MATCH(A44,'liste reference'!$A$6:$A$1174,0)))</f>
        <v>825</v>
      </c>
    </row>
    <row r="45" customFormat="false" ht="12.75" hidden="false" customHeight="false" outlineLevel="0" collapsed="false">
      <c r="A45" s="518" t="s">
        <v>2511</v>
      </c>
      <c r="B45" s="519" t="n">
        <v>0.005</v>
      </c>
      <c r="C45" s="520" t="n">
        <v>0.005</v>
      </c>
      <c r="D45" s="521" t="str">
        <f aca="false">IF(ISERROR(VLOOKUP($A45,'liste reference'!$A$6:$B$1174,2,0)),IF(ISERROR(VLOOKUP($A45,'liste reference'!$B$6:$B$1174,1,0)),"",VLOOKUP($A45,'liste reference'!$B$6:$B$1174,1,0)),VLOOKUP($A45,'liste reference'!$A$6:$B$1174,2,0))</f>
        <v>Eupatorium cannabinum</v>
      </c>
      <c r="E45" s="522" t="e">
        <f aca="false">IF(D45="",0,VLOOKUP(D45,D$22:D44,1,0))</f>
        <v>#N/A</v>
      </c>
      <c r="F45" s="523" t="n">
        <f aca="false">IF(AND(OR(A45="",A45="!!!!!!"),B45="",C45=""),"",IF(OR(AND(B45="",C45=""),ISERROR(C45+B45)),"!!!",($B45*$B$7+$C45*$C$7)/100))</f>
        <v>0.005</v>
      </c>
      <c r="G45" s="524" t="str">
        <f aca="false">IF(A45="","",IF(ISERROR(VLOOKUP($A45,'liste reference'!$A$6:$Q$1174,9,0)),IF(ISERROR(VLOOKUP($A45,'liste reference'!$B$6:$Q$1174,8,0)),"    -",VLOOKUP($A45,'liste reference'!$B$6:$Q$1174,8,0)),VLOOKUP($A45,'liste reference'!$A$6:$Q$1174,9,0)))</f>
        <v>PHg</v>
      </c>
      <c r="H45" s="525" t="n">
        <f aca="false">IF(A45="","x",IF(ISERROR(VLOOKUP($A45,'liste reference'!$A$6:$Q$1174,10,0)),IF(ISERROR(VLOOKUP($A45,'liste reference'!$B$6:$Q$1174,9,0)),"x",VLOOKUP($A45,'liste reference'!$B$6:$Q$1174,9,0)),VLOOKUP($A45,'liste reference'!$A$6:$Q$1174,10,0)))</f>
        <v>9</v>
      </c>
      <c r="I45" s="309" t="n">
        <f aca="false">IF(A45="","",1)</f>
        <v>1</v>
      </c>
      <c r="J45" s="526" t="str">
        <f aca="false">IF(ISNUMBER($H45),IF(ISERROR(VLOOKUP($A45,'liste reference'!$A$6:$Q$1174,6,0)),IF(ISERROR(VLOOKUP($A45,'liste reference'!$B$6:$Q$1174,5,0)),"nu",VLOOKUP($A45,'liste reference'!$B$6:$Q$1174,5,0)),VLOOKUP($A45,'liste reference'!$A$6:$Q$1174,6,0)),"nu")</f>
        <v>nc</v>
      </c>
      <c r="K45" s="526" t="str">
        <f aca="false">IF(ISNUMBER($H45),IF(ISERROR(VLOOKUP($A45,'liste reference'!$A$6:$Q$1174,7,0)),IF(ISERROR(VLOOKUP($A45,'liste reference'!$B$6:$Q$1174,6,0)),"nu",VLOOKUP($A45,'liste reference'!$B$6:$Q$1174,6,0)),VLOOKUP($A45,'liste reference'!$A$6:$Q$1174,7,0)),"nu")</f>
        <v>nc</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Eupatorium cannabinum</v>
      </c>
      <c r="M45" s="527"/>
      <c r="N45" s="527"/>
      <c r="O45" s="527"/>
      <c r="P45" s="528" t="s">
        <v>3442</v>
      </c>
      <c r="Q45" s="529" t="n">
        <f aca="false">IF(OR($A45="NEWCOD",$A45="!!!!!!"),IF(X45="","NoCod",X45),IF($A45="","",IF(ISERROR(VLOOKUP($A45,'liste reference'!$A$6:$H$1174,8,FALSE())),IF(ISERROR(VLOOKUP($A45,'liste reference'!$B$6:$H$1174,7,FALSE())),"",VLOOKUP($A45,'liste reference'!$B$6:$H$1174,7,FALSE())),VLOOKUP($A45,'liste reference'!$A$6:$H$1174,8,FALSE()))))</f>
        <v>1741</v>
      </c>
      <c r="R45" s="513" t="n">
        <f aca="false">IF(ISTEXT(H45),"",(B45*$B$7/100)+(C45*$C$7/100))</f>
        <v>0.005</v>
      </c>
      <c r="S45" s="514" t="n">
        <f aca="false">IF(OR(ISTEXT(H45),R45=0),"",IF(R45&lt;0.1,1,IF(R45&lt;1,2,IF(R45&lt;10,3,IF(R45&lt;50,4,IF(R45&gt;=50,5,""))))))</f>
        <v>1</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EUPCAN</v>
      </c>
      <c r="Z45" s="499" t="n">
        <f aca="false">IF(ISERROR(MATCH(A45,'liste reference'!$A$6:$A$1174,0)),IF(ISERROR(MATCH(A45,'liste reference'!$B$6:$B$1174,0)),"",(MATCH(A45,'liste reference'!$B$6:$B$1174,0))),(MATCH(A45,'liste reference'!$A$6:$A$1174,0)))</f>
        <v>838</v>
      </c>
    </row>
    <row r="46" customFormat="false" ht="12.75" hidden="false" customHeight="false" outlineLevel="0" collapsed="false">
      <c r="A46" s="518" t="s">
        <v>2609</v>
      </c>
      <c r="B46" s="519" t="n">
        <v>0.005</v>
      </c>
      <c r="C46" s="520" t="n">
        <v>0.01</v>
      </c>
      <c r="D46" s="521" t="str">
        <f aca="false">IF(ISERROR(VLOOKUP($A46,'liste reference'!$A$6:$B$1174,2,0)),IF(ISERROR(VLOOKUP($A46,'liste reference'!$B$6:$B$1174,1,0)),"",VLOOKUP($A46,'liste reference'!$B$6:$B$1174,1,0)),VLOOKUP($A46,'liste reference'!$A$6:$B$1174,2,0))</f>
        <v>Juncus articulatus</v>
      </c>
      <c r="E46" s="522" t="e">
        <f aca="false">IF(D46="",0,VLOOKUP(D46,D$22:D45,1,0))</f>
        <v>#N/A</v>
      </c>
      <c r="F46" s="523" t="n">
        <f aca="false">IF(AND(OR(A46="",A46="!!!!!!"),B46="",C46=""),"",IF(OR(AND(B46="",C46=""),ISERROR(C46+B46)),"!!!",($B46*$B$7+$C46*$C$7)/100))</f>
        <v>0.0065</v>
      </c>
      <c r="G46" s="524" t="str">
        <f aca="false">IF(A46="","",IF(ISERROR(VLOOKUP($A46,'liste reference'!$A$6:$Q$1174,9,0)),IF(ISERROR(VLOOKUP($A46,'liste reference'!$B$6:$Q$1174,8,0)),"    -",VLOOKUP($A46,'liste reference'!$B$6:$Q$1174,8,0)),VLOOKUP($A46,'liste reference'!$A$6:$Q$1174,9,0)))</f>
        <v>PHg</v>
      </c>
      <c r="H46" s="525" t="n">
        <f aca="false">IF(A46="","x",IF(ISERROR(VLOOKUP($A46,'liste reference'!$A$6:$Q$1174,10,0)),IF(ISERROR(VLOOKUP($A46,'liste reference'!$B$6:$Q$1174,9,0)),"x",VLOOKUP($A46,'liste reference'!$B$6:$Q$1174,9,0)),VLOOKUP($A46,'liste reference'!$A$6:$Q$1174,10,0)))</f>
        <v>9</v>
      </c>
      <c r="I46" s="309" t="n">
        <f aca="false">IF(A46="","",1)</f>
        <v>1</v>
      </c>
      <c r="J46" s="526" t="str">
        <f aca="false">IF(ISNUMBER($H46),IF(ISERROR(VLOOKUP($A46,'liste reference'!$A$6:$Q$1174,6,0)),IF(ISERROR(VLOOKUP($A46,'liste reference'!$B$6:$Q$1174,5,0)),"nu",VLOOKUP($A46,'liste reference'!$B$6:$Q$1174,5,0)),VLOOKUP($A46,'liste reference'!$A$6:$Q$1174,6,0)),"nu")</f>
        <v>nc</v>
      </c>
      <c r="K46" s="526" t="str">
        <f aca="false">IF(ISNUMBER($H46),IF(ISERROR(VLOOKUP($A46,'liste reference'!$A$6:$Q$1174,7,0)),IF(ISERROR(VLOOKUP($A46,'liste reference'!$B$6:$Q$1174,6,0)),"nu",VLOOKUP($A46,'liste reference'!$B$6:$Q$1174,6,0)),VLOOKUP($A46,'liste reference'!$A$6:$Q$1174,7,0)),"nu")</f>
        <v>nc</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Juncus articulatus</v>
      </c>
      <c r="M46" s="527"/>
      <c r="N46" s="527"/>
      <c r="O46" s="527"/>
      <c r="P46" s="528" t="s">
        <v>3442</v>
      </c>
      <c r="Q46" s="529" t="n">
        <f aca="false">IF(OR($A46="NEWCOD",$A46="!!!!!!"),IF(X46="","NoCod",X46),IF($A46="","",IF(ISERROR(VLOOKUP($A46,'liste reference'!$A$6:$H$1174,8,FALSE())),IF(ISERROR(VLOOKUP($A46,'liste reference'!$B$6:$H$1174,7,FALSE())),"",VLOOKUP($A46,'liste reference'!$B$6:$H$1174,7,FALSE())),VLOOKUP($A46,'liste reference'!$A$6:$H$1174,8,FALSE()))))</f>
        <v>1609</v>
      </c>
      <c r="R46" s="513" t="n">
        <f aca="false">IF(ISTEXT(H46),"",(B46*$B$7/100)+(C46*$C$7/100))</f>
        <v>0.0065</v>
      </c>
      <c r="S46" s="514" t="n">
        <f aca="false">IF(OR(ISTEXT(H46),R46=0),"",IF(R46&lt;0.1,1,IF(R46&lt;1,2,IF(R46&lt;10,3,IF(R46&lt;50,4,IF(R46&gt;=50,5,""))))))</f>
        <v>1</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JUNART</v>
      </c>
      <c r="Z46" s="499" t="n">
        <f aca="false">IF(ISERROR(MATCH(A46,'liste reference'!$A$6:$A$1174,0)),IF(ISERROR(MATCH(A46,'liste reference'!$B$6:$B$1174,0)),"",(MATCH(A46,'liste reference'!$B$6:$B$1174,0))),(MATCH(A46,'liste reference'!$A$6:$A$1174,0)))</f>
        <v>873</v>
      </c>
    </row>
    <row r="47" customFormat="false" ht="12.75" hidden="false" customHeight="false" outlineLevel="0" collapsed="false">
      <c r="A47" s="518" t="s">
        <v>3018</v>
      </c>
      <c r="B47" s="519" t="n">
        <v>0.005</v>
      </c>
      <c r="C47" s="520" t="n">
        <v>0.005</v>
      </c>
      <c r="D47" s="521" t="str">
        <f aca="false">IF(ISERROR(VLOOKUP($A47,'liste reference'!$A$6:$B$1174,2,0)),IF(ISERROR(VLOOKUP($A47,'liste reference'!$B$6:$B$1174,1,0)),"",VLOOKUP($A47,'liste reference'!$B$6:$B$1174,1,0)),VLOOKUP($A47,'liste reference'!$A$6:$B$1174,2,0))</f>
        <v>Bellium bellidioides</v>
      </c>
      <c r="E47" s="522" t="e">
        <f aca="false">IF(D47="",0,VLOOKUP(D47,D$22:D46,1,0))</f>
        <v>#N/A</v>
      </c>
      <c r="F47" s="523" t="n">
        <f aca="false">IF(AND(OR(A47="",A47="!!!!!!"),B47="",C47=""),"",IF(OR(AND(B47="",C47=""),ISERROR(C47+B47)),"!!!",($B47*$B$7+$C47*$C$7)/100))</f>
        <v>0.005</v>
      </c>
      <c r="G47" s="524" t="str">
        <f aca="false">IF(A47="","",IF(ISERROR(VLOOKUP($A47,'liste reference'!$A$6:$Q$1174,9,0)),IF(ISERROR(VLOOKUP($A47,'liste reference'!$B$6:$Q$1174,8,0)),"    -",VLOOKUP($A47,'liste reference'!$B$6:$Q$1174,8,0)),VLOOKUP($A47,'liste reference'!$A$6:$Q$1174,9,0)))</f>
        <v>PHx</v>
      </c>
      <c r="H47" s="525" t="n">
        <f aca="false">IF(A47="","x",IF(ISERROR(VLOOKUP($A47,'liste reference'!$A$6:$Q$1174,10,0)),IF(ISERROR(VLOOKUP($A47,'liste reference'!$B$6:$Q$1174,9,0)),"x",VLOOKUP($A47,'liste reference'!$B$6:$Q$1174,9,0)),VLOOKUP($A47,'liste reference'!$A$6:$Q$1174,10,0)))</f>
        <v>10</v>
      </c>
      <c r="I47" s="309" t="n">
        <f aca="false">IF(A47="","",1)</f>
        <v>1</v>
      </c>
      <c r="J47" s="526" t="str">
        <f aca="false">IF(ISNUMBER($H47),IF(ISERROR(VLOOKUP($A47,'liste reference'!$A$6:$Q$1174,6,0)),IF(ISERROR(VLOOKUP($A47,'liste reference'!$B$6:$Q$1174,5,0)),"nu",VLOOKUP($A47,'liste reference'!$B$6:$Q$1174,5,0)),VLOOKUP($A47,'liste reference'!$A$6:$Q$1174,6,0)),"nu")</f>
        <v>nc</v>
      </c>
      <c r="K47" s="526" t="str">
        <f aca="false">IF(ISNUMBER($H47),IF(ISERROR(VLOOKUP($A47,'liste reference'!$A$6:$Q$1174,7,0)),IF(ISERROR(VLOOKUP($A47,'liste reference'!$B$6:$Q$1174,6,0)),"nu",VLOOKUP($A47,'liste reference'!$B$6:$Q$1174,6,0)),VLOOKUP($A47,'liste reference'!$A$6:$Q$1174,7,0)),"nu")</f>
        <v>nc</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Bellium bellidioides</v>
      </c>
      <c r="M47" s="527"/>
      <c r="N47" s="527"/>
      <c r="O47" s="527"/>
      <c r="P47" s="528" t="s">
        <v>3442</v>
      </c>
      <c r="Q47" s="529" t="n">
        <f aca="false">IF(OR($A47="NEWCOD",$A47="!!!!!!"),IF(X47="","NoCod",X47),IF($A47="","",IF(ISERROR(VLOOKUP($A47,'liste reference'!$A$6:$H$1174,8,FALSE())),IF(ISERROR(VLOOKUP($A47,'liste reference'!$B$6:$H$1174,7,FALSE())),"",VLOOKUP($A47,'liste reference'!$B$6:$H$1174,7,FALSE())),VLOOKUP($A47,'liste reference'!$A$6:$H$1174,8,FALSE()))))</f>
        <v>35485</v>
      </c>
      <c r="R47" s="513" t="n">
        <f aca="false">IF(ISTEXT(H47),"",(B47*$B$7/100)+(C47*$C$7/100))</f>
        <v>0.005</v>
      </c>
      <c r="S47" s="514" t="n">
        <f aca="false">IF(OR(ISTEXT(H47),R47=0),"",IF(R47&lt;0.1,1,IF(R47&lt;1,2,IF(R47&lt;10,3,IF(R47&lt;50,4,IF(R47&gt;=50,5,""))))))</f>
        <v>1</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BELBEL</v>
      </c>
      <c r="Z47" s="499" t="n">
        <f aca="false">IF(ISERROR(MATCH(A47,'liste reference'!$A$6:$A$1174,0)),IF(ISERROR(MATCH(A47,'liste reference'!$B$6:$B$1174,0)),"",(MATCH(A47,'liste reference'!$B$6:$B$1174,0))),(MATCH(A47,'liste reference'!$A$6:$A$1174,0)))</f>
        <v>1024</v>
      </c>
    </row>
    <row r="48" customFormat="false" ht="12.75" hidden="false" customHeight="false" outlineLevel="0" collapsed="false">
      <c r="A48" s="518" t="s">
        <v>3463</v>
      </c>
      <c r="B48" s="519"/>
      <c r="C48" s="520" t="n">
        <v>0.03</v>
      </c>
      <c r="D48" s="521" t="str">
        <f aca="false">IF(ISERROR(VLOOKUP($A48,'liste reference'!$A$6:$B$1174,2,0)),IF(ISERROR(VLOOKUP($A48,'liste reference'!$B$6:$B$1174,1,0)),"",VLOOKUP($A48,'liste reference'!$B$6:$B$1174,1,0)),VLOOKUP($A48,'liste reference'!$A$6:$B$1174,2,0))</f>
        <v/>
      </c>
      <c r="E48" s="522" t="n">
        <f aca="false">IF(D48="",0,VLOOKUP(D48,D$22:D47,1,0))</f>
        <v>0</v>
      </c>
      <c r="F48" s="523" t="n">
        <f aca="false">IF(AND(OR(A48="",A48="!!!!!!"),B48="",C48=""),"",IF(OR(AND(B48="",C48=""),ISERROR(C48+B48)),"!!!",($B48*$B$7+$C48*$C$7)/100))</f>
        <v>0.009</v>
      </c>
      <c r="G48" s="524" t="str">
        <f aca="false">IF(A48="","",IF(ISERROR(VLOOKUP($A48,'liste reference'!$A$6:$Q$1174,9,0)),IF(ISERROR(VLOOKUP($A48,'liste reference'!$B$6:$Q$1174,8,0)),"    -",VLOOKUP($A48,'liste reference'!$B$6:$Q$1174,8,0)),VLOOKUP($A48,'liste reference'!$A$6:$Q$1174,9,0)))</f>
        <v>    -</v>
      </c>
      <c r="H48" s="525" t="str">
        <f aca="false">IF(A48="","x",IF(ISERROR(VLOOKUP($A48,'liste reference'!$A$6:$Q$1174,10,0)),IF(ISERROR(VLOOKUP($A48,'liste reference'!$B$6:$Q$1174,9,0)),"x",VLOOKUP($A48,'liste reference'!$B$6:$Q$1174,9,0)),VLOOKUP($A48,'liste reference'!$A$6:$Q$1174,10,0)))</f>
        <v>x</v>
      </c>
      <c r="I48" s="309" t="n">
        <f aca="false">IF(A48="","",1)</f>
        <v>1</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Klebsormidium sp.</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NoCod</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t="s">
        <v>3464</v>
      </c>
      <c r="X48" s="532"/>
      <c r="Y48" s="517" t="str">
        <f aca="false">IF(AND(ISNUMBER(F48),OR(A48="",A48="!!!!!!")),"!!!!!!",IF(A48="new.cod","NEWCOD",IF(AND((Z48=""),ISTEXT(A48),A48&lt;&gt;"!!!!!!"),A48,IF(Z48="","",INDEX('liste reference'!$A$6:$A$1174,Z48)))))</f>
        <v>NEWCOD</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33"/>
      <c r="N54" s="533"/>
      <c r="O54" s="533"/>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1.1302</v>
      </c>
      <c r="G83" s="452"/>
      <c r="H83" s="452"/>
      <c r="I83" s="452"/>
      <c r="J83" s="452"/>
      <c r="K83" s="452"/>
      <c r="L83" s="452"/>
      <c r="M83" s="514"/>
      <c r="N83" s="514"/>
      <c r="O83" s="514"/>
      <c r="P83" s="514"/>
      <c r="Q83" s="514"/>
      <c r="R83" s="514"/>
      <c r="S83" s="514"/>
      <c r="T83" s="514"/>
      <c r="U83" s="514"/>
      <c r="V83" s="514" t="n">
        <f aca="false">SUM(V23:V82)</f>
        <v>22</v>
      </c>
      <c r="W83" s="514"/>
      <c r="X83" s="552"/>
      <c r="Y83" s="552"/>
      <c r="Z83" s="553"/>
    </row>
    <row r="84" customFormat="false" ht="12.75" hidden="true" customHeight="false" outlineLevel="0" collapsed="false">
      <c r="A84" s="547" t="str">
        <f aca="false">A3</f>
        <v>TRAVO</v>
      </c>
      <c r="B84" s="481" t="str">
        <f aca="false">C3</f>
        <v>Ventiseri</v>
      </c>
      <c r="C84" s="554" t="str">
        <f aca="false">A4</f>
        <v>(Date)</v>
      </c>
      <c r="D84" s="555" t="n">
        <f aca="false">IF(OR(ISERROR(SUM($U$23:$U$82)/SUM($V$23:$V$82)),F7&lt;&gt;100),-1,SUM($U$23:$U$82)/SUM($V$23:$V$82))</f>
        <v>12.4545454545455</v>
      </c>
      <c r="E84" s="556" t="n">
        <f aca="false">O13</f>
        <v>26</v>
      </c>
      <c r="F84" s="481" t="n">
        <f aca="false">O14</f>
        <v>14</v>
      </c>
      <c r="G84" s="481" t="n">
        <f aca="false">O15</f>
        <v>8</v>
      </c>
      <c r="H84" s="481" t="n">
        <f aca="false">O16</f>
        <v>6</v>
      </c>
      <c r="I84" s="481" t="n">
        <f aca="false">O17</f>
        <v>0</v>
      </c>
      <c r="J84" s="557" t="n">
        <f aca="false">O8</f>
        <v>11.9285714285714</v>
      </c>
      <c r="K84" s="558" t="n">
        <f aca="false">O9</f>
        <v>1.86946461832891</v>
      </c>
      <c r="L84" s="559" t="n">
        <f aca="false">O10</f>
        <v>9</v>
      </c>
      <c r="M84" s="559" t="n">
        <f aca="false">O11</f>
        <v>16</v>
      </c>
      <c r="N84" s="558" t="n">
        <f aca="false">P8</f>
        <v>1.42857142857143</v>
      </c>
      <c r="O84" s="558" t="n">
        <f aca="false">P9</f>
        <v>0.494871659305394</v>
      </c>
      <c r="P84" s="559" t="n">
        <f aca="false">P10</f>
        <v>1</v>
      </c>
      <c r="Q84" s="559" t="n">
        <f aca="false">P11</f>
        <v>2</v>
      </c>
      <c r="R84" s="559" t="n">
        <f aca="false">F21</f>
        <v>1.1302</v>
      </c>
      <c r="S84" s="559" t="n">
        <f aca="false">L11</f>
        <v>0</v>
      </c>
      <c r="T84" s="559" t="n">
        <f aca="false">L12</f>
        <v>11</v>
      </c>
      <c r="U84" s="559" t="n">
        <f aca="false">L13</f>
        <v>5</v>
      </c>
      <c r="V84" s="560" t="n">
        <f aca="false">L15</f>
        <v>7</v>
      </c>
      <c r="W84" s="561" t="n">
        <f aca="false">L15</f>
        <v>7</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26</v>
      </c>
      <c r="U87" s="309"/>
      <c r="V87" s="309"/>
    </row>
    <row r="88" customFormat="false" ht="12.75" hidden="true" customHeight="false" outlineLevel="0" collapsed="false">
      <c r="C88" s="563"/>
      <c r="D88" s="563"/>
      <c r="E88" s="563"/>
      <c r="R88" s="309" t="s">
        <v>3445</v>
      </c>
      <c r="S88" s="309"/>
      <c r="T88" s="565" t="n">
        <f aca="false">VLOOKUP($T$91,($A$23:$U$82),21,FALSE())</f>
        <v>52</v>
      </c>
      <c r="U88" s="309"/>
      <c r="V88" s="309" t="n">
        <f aca="false">COUNTIF(V23:V82,T89)</f>
        <v>1</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12.3333333333333</v>
      </c>
      <c r="U90" s="309" t="n">
        <f aca="false">IF(ISERROR(T90),0,1)</f>
        <v>1</v>
      </c>
    </row>
    <row r="91" customFormat="false" ht="12.75" hidden="true" customHeight="false" outlineLevel="0" collapsed="false">
      <c r="C91" s="563"/>
      <c r="D91" s="563"/>
      <c r="E91" s="563"/>
      <c r="R91" s="514" t="s">
        <v>3449</v>
      </c>
      <c r="S91" s="514"/>
      <c r="T91" s="514" t="str">
        <f aca="false">INDEX('liste reference'!$A$6:$A$1174,$U$91)</f>
        <v>PHOSPX</v>
      </c>
      <c r="U91" s="309" t="n">
        <f aca="false">IF(ISERROR(MATCH($T$93,'liste reference'!$A$6:$A$1174,0)),MATCH($T$93,'liste reference'!$B$6:$B$1174,0),(MATCH($T$93,'liste reference'!$A$6:$A$1174,0)))</f>
        <v>88</v>
      </c>
      <c r="V91" s="567"/>
    </row>
    <row r="92" customFormat="false" ht="12.75" hidden="true" customHeight="false" outlineLevel="0" collapsed="false">
      <c r="C92" s="563"/>
      <c r="D92" s="563"/>
      <c r="E92" s="563"/>
      <c r="R92" s="309" t="s">
        <v>3450</v>
      </c>
      <c r="S92" s="309"/>
      <c r="T92" s="309" t="n">
        <f aca="false">MATCH(T89,$V$23:$V$82,0)</f>
        <v>8</v>
      </c>
      <c r="U92" s="309"/>
    </row>
    <row r="93" customFormat="false" ht="12.75" hidden="true" customHeight="false" outlineLevel="0" collapsed="false">
      <c r="C93" s="563"/>
      <c r="D93" s="563"/>
      <c r="E93" s="563"/>
      <c r="R93" s="514" t="s">
        <v>3451</v>
      </c>
      <c r="S93" s="309"/>
      <c r="T93" s="514" t="str">
        <f aca="false">INDEX($A$23:$A$82,$T$92)</f>
        <v>PHOSPX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3463</v>
      </c>
      <c r="B9" s="595" t="s">
        <v>3463</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3473</v>
      </c>
      <c r="G17" s="600"/>
      <c r="H17" s="601" t="s">
        <v>3474</v>
      </c>
      <c r="I17" s="600"/>
    </row>
    <row r="18" customFormat="false" ht="15" hidden="false" customHeight="false" outlineLevel="0" collapsed="false">
      <c r="A18" s="594" t="s">
        <v>2960</v>
      </c>
      <c r="B18" s="596" t="s">
        <v>2961</v>
      </c>
      <c r="C18" s="597"/>
      <c r="D18" s="598"/>
      <c r="F18" s="602" t="s">
        <v>3475</v>
      </c>
      <c r="G18" s="603"/>
      <c r="H18" s="602" t="s">
        <v>3475</v>
      </c>
      <c r="I18" s="604"/>
    </row>
    <row r="19" customFormat="false" ht="15" hidden="false" customHeight="false" outlineLevel="0" collapsed="false">
      <c r="A19" s="594" t="s">
        <v>2962</v>
      </c>
      <c r="B19" s="596" t="s">
        <v>2963</v>
      </c>
      <c r="C19" s="597"/>
      <c r="D19" s="598"/>
      <c r="F19" s="605" t="s">
        <v>3476</v>
      </c>
      <c r="G19" s="8"/>
      <c r="H19" s="605" t="s">
        <v>3476</v>
      </c>
      <c r="I19" s="606"/>
    </row>
    <row r="20" customFormat="false" ht="15" hidden="false" customHeight="false" outlineLevel="0" collapsed="false">
      <c r="A20" s="594" t="s">
        <v>2966</v>
      </c>
      <c r="B20" s="596" t="s">
        <v>2967</v>
      </c>
      <c r="C20" s="597"/>
      <c r="D20" s="598"/>
      <c r="F20" s="605" t="s">
        <v>3477</v>
      </c>
      <c r="G20" s="8"/>
      <c r="H20" s="605" t="s">
        <v>3477</v>
      </c>
      <c r="I20" s="606"/>
    </row>
    <row r="21" customFormat="false" ht="15" hidden="false" customHeight="false" outlineLevel="0" collapsed="false">
      <c r="A21" s="594" t="s">
        <v>2315</v>
      </c>
      <c r="B21" s="596" t="s">
        <v>2316</v>
      </c>
      <c r="C21" s="597"/>
      <c r="D21" s="598"/>
      <c r="F21" s="605" t="s">
        <v>3458</v>
      </c>
      <c r="G21" s="8"/>
      <c r="H21" s="605" t="s">
        <v>3458</v>
      </c>
      <c r="I21" s="606"/>
    </row>
    <row r="22" customFormat="false" ht="15" hidden="false" customHeight="false" outlineLevel="0" collapsed="false">
      <c r="A22" s="594" t="s">
        <v>2968</v>
      </c>
      <c r="B22" s="596" t="s">
        <v>2969</v>
      </c>
      <c r="C22" s="597"/>
      <c r="D22" s="598"/>
      <c r="F22" s="605" t="s">
        <v>3478</v>
      </c>
      <c r="G22" s="8"/>
      <c r="H22" s="605" t="s">
        <v>3478</v>
      </c>
      <c r="I22" s="606"/>
    </row>
    <row r="23" customFormat="false" ht="15" hidden="false" customHeight="false" outlineLevel="0" collapsed="false">
      <c r="A23" s="594" t="s">
        <v>1930</v>
      </c>
      <c r="B23" s="596" t="s">
        <v>1931</v>
      </c>
      <c r="C23" s="597"/>
      <c r="D23" s="598"/>
      <c r="F23" s="605" t="s">
        <v>3479</v>
      </c>
      <c r="G23" s="8"/>
      <c r="H23" s="605" t="s">
        <v>3479</v>
      </c>
      <c r="I23" s="606"/>
    </row>
    <row r="24" customFormat="false" ht="15" hidden="false" customHeight="false" outlineLevel="0" collapsed="false">
      <c r="A24" s="594" t="s">
        <v>2970</v>
      </c>
      <c r="B24" s="596" t="s">
        <v>2971</v>
      </c>
      <c r="C24" s="597"/>
      <c r="D24" s="598"/>
      <c r="F24" s="605" t="s">
        <v>3459</v>
      </c>
      <c r="G24" s="8"/>
      <c r="H24" s="605" t="s">
        <v>3459</v>
      </c>
      <c r="I24" s="606"/>
    </row>
    <row r="25" customFormat="false" ht="15" hidden="false" customHeight="false" outlineLevel="0" collapsed="false">
      <c r="A25" s="594" t="s">
        <v>1351</v>
      </c>
      <c r="B25" s="596" t="s">
        <v>1352</v>
      </c>
      <c r="C25" s="597"/>
      <c r="D25" s="598"/>
      <c r="F25" s="605" t="s">
        <v>3480</v>
      </c>
      <c r="G25" s="8"/>
      <c r="H25" s="605" t="s">
        <v>3480</v>
      </c>
      <c r="I25" s="606"/>
    </row>
    <row r="26" customFormat="false" ht="15" hidden="false" customHeight="false" outlineLevel="0" collapsed="false">
      <c r="A26" s="594" t="s">
        <v>1354</v>
      </c>
      <c r="B26" s="596" t="s">
        <v>1355</v>
      </c>
      <c r="C26" s="597"/>
      <c r="D26" s="598"/>
      <c r="F26" s="605" t="s">
        <v>3481</v>
      </c>
      <c r="G26" s="8"/>
      <c r="H26" s="605" t="s">
        <v>3481</v>
      </c>
      <c r="I26" s="606"/>
    </row>
    <row r="27" customFormat="false" ht="15" hidden="false" customHeight="false" outlineLevel="0" collapsed="false">
      <c r="A27" s="594" t="s">
        <v>1326</v>
      </c>
      <c r="B27" s="596" t="s">
        <v>1327</v>
      </c>
      <c r="C27" s="597"/>
      <c r="D27" s="598"/>
      <c r="F27" s="607" t="s">
        <v>3482</v>
      </c>
      <c r="G27" s="608"/>
      <c r="H27" s="607" t="s">
        <v>3482</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3483</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3486</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2015-05-20T12:23:22Z</cp:lastPrinted>
  <dcterms:modified xsi:type="dcterms:W3CDTF">2016-06-08T14:37:29Z</dcterms:modified>
  <cp:revision>0</cp:revision>
  <dc:subject/>
  <dc:title>Feuille d'aide au calcul de l'IBMR</dc:title>
</cp:coreProperties>
</file>