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370 SAN CLEMENTE" sheetId="6" state="visible" r:id="rId8"/>
    <sheet name="modele" sheetId="7" state="hidden" r:id="rId9"/>
    <sheet name="liste codes réf" sheetId="8" state="hidden" r:id="rId10"/>
  </sheets>
  <definedNames>
    <definedName function="false" hidden="false" localSheetId="5" name="_xlnm.Print_Area" vbProcedure="false">'06222370 SAN CLEMENTE'!$A$1:$O$82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'06222370 SAN CLEMENTE'!$A$23:$J$84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<sst xmlns="http://schemas.openxmlformats.org/spreadsheetml/2006/main" count="7351" uniqueCount="2728">
  <si>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</si>
  <si>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</si>
  <si>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</si>
  <si>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</si>
  <si>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</si>
  <si>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</si>
  <si>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</si>
  <si>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</si>
  <si>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</si>
  <si>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</si>
  <si>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</si>
  <si>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</si>
  <si>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</si>
  <si>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</si>
  <si>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</si>
  <si>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</si>
  <si>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</si>
  <si>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</si>
  <si>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</si>
  <si>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</si>
  <si>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</si>
  <si>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</si>
  <si>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</si>
  <si>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</si>
  <si>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</si>
  <si>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</si>
  <si>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</si>
  <si>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</si>
  <si>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</si>
  <si>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</si>
  <si>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</si>
  <si>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</si>
  <si>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</si>
  <si>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</si>
  <si>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</si>
  <si>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</si>
  <si>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</si>
  <si>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</si>
  <si>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</si>
  <si>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</si>
  <si>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</si>
  <si>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</si>
  <si>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</si>
  <si>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</si>
  <si>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</si>
  <si>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</si>
  <si>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</si>
  <si>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</si>
  <si>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</si>
  <si>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</si>
  <si>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</si>
  <si>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</si>
  <si>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</si>
  <si>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</si>
  <si>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</si>
  <si>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</si>
  <si>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</si>
  <si>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</si>
  <si>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</si>
  <si>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</si>
  <si>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</si>
  <si>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</si>
  <si>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</si>
  <si>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</si>
  <si>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</si>
  <si>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</si>
  <si>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</si>
  <si>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</si>
  <si>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</si>
  <si>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</si>
  <si>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</si>
  <si>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</si>
  <si>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</si>
  <si>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</si>
  <si>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</si>
  <si>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</si>
  <si>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</si>
  <si>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</si>
  <si>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</si>
  <si>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</si>
  <si>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</si>
  <si>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</si>
  <si>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</si>
  <si>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</si>
  <si>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</si>
  <si>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</si>
  <si>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</si>
  <si>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</si>
  <si>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</si>
  <si>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</si>
  <si>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</si>
  <si>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</si>
  <si>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</si>
  <si>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</si>
  <si>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</si>
  <si>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</si>
  <si>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</si>
  <si>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</si>
  <si>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</si>
  <si>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</si>
  <si>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</si>
  <si>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</si>
  <si>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</si>
  <si>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</si>
  <si>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</si>
  <si>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</si>
  <si>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</si>
  <si>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</si>
  <si>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</si>
  <si>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</si>
  <si>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</si>
  <si>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</si>
  <si>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</si>
  <si>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</si>
  <si>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</si>
  <si>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</si>
  <si>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</si>
  <si>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</si>
  <si>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</si>
  <si>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</si>
  <si>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</si>
  <si>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</si>
  <si>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</si>
  <si>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</si>
  <si>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</si>
  <si>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</si>
  <si>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</si>
  <si>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</si>
  <si>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</si>
  <si>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</si>
  <si>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</si>
  <si>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</si>
  <si>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</si>
  <si>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</si>
  <si>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</si>
  <si>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</si>
  <si>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</si>
  <si>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</si>
  <si>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</si>
  <si>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</si>
  <si>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</si>
  <si>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</si>
  <si>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</si>
  <si>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</si>
  <si>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</si>
  <si>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</si>
  <si>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</si>
  <si>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</si>
  <si>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</si>
  <si>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</si>
  <si>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</si>
  <si>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</si>
  <si>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</si>
  <si>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</si>
  <si>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</si>
  <si>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</si>
  <si>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</si>
  <si>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</si>
  <si>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</si>
  <si>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</si>
  <si>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</si>
  <si>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</si>
  <si>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</si>
  <si>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</si>
  <si>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</si>
  <si>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</si>
  <si>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</si>
  <si>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</si>
  <si>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</si>
  <si>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</si>
  <si>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</si>
  <si>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</si>
  <si>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</si>
  <si>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</si>
  <si>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</si>
  <si>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</si>
  <si>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</si>
  <si>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</si>
  <si>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</si>
  <si>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</si>
  <si>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</si>
  <si>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</si>
  <si>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</si>
  <si>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</si>
  <si>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</si>
  <si>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</si>
  <si>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</si>
  <si>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</si>
  <si>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</si>
  <si>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</si>
  <si>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</si>
  <si>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</si>
  <si>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</si>
  <si>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</si>
  <si>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</si>
  <si>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</si>
  <si>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</si>
  <si>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</si>
  <si>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</si>
  <si>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</si>
  <si>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</si>
  <si>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</si>
  <si>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</si>
  <si>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</si>
  <si>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</si>
  <si>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</si>
  <si>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</si>
  <si>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</si>
  <si>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</si>
  <si>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</si>
  <si>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</si>
  <si>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</si>
  <si>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</si>
  <si>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</si>
  <si>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</si>
  <si>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</si>
  <si>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</si>
  <si>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</si>
  <si>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</si>
  <si>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</si>
  <si>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</si>
  <si>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</si>
  <si>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</si>
  <si>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</si>
  <si>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</si>
  <si>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</si>
  <si>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</si>
  <si>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</si>
  <si>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</si>
  <si>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</si>
  <si>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</si>
  <si>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</si>
  <si>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</si>
  <si>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</si>
  <si>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</si>
  <si>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</si>
  <si>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</si>
  <si>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</si>
  <si>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</si>
  <si>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</si>
  <si>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</si>
  <si>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</si>
  <si>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</si>
  <si>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</si>
  <si>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</si>
  <si>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</si>
  <si>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</si>
  <si>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</si>
  <si>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</si>
  <si>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</si>
  <si>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</si>
  <si>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</si>
  <si>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</si>
  <si>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</si>
  <si>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</si>
  <si>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</si>
  <si>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</si>
  <si>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</si>
  <si>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</si>
  <si>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</si>
  <si>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</si>
  <si>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</si>
  <si>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</si>
  <si>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</si>
  <si>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</si>
  <si>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</si>
  <si>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</si>
  <si>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</si>
  <si>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</si>
  <si>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</si>
  <si>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</si>
  <si>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</si>
  <si>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</si>
  <si>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</si>
  <si>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</si>
  <si>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</si>
  <si>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</si>
  <si>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</si>
  <si>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</si>
  <si>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</si>
  <si>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</si>
  <si>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</si>
  <si>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</si>
  <si>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</si>
  <si>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</si>
  <si>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</si>
  <si>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</si>
  <si>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</si>
  <si>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</si>
  <si>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</si>
  <si>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</si>
  <si>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</si>
  <si>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</si>
  <si>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</si>
  <si>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</si>
  <si>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</si>
  <si>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</si>
  <si>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</si>
  <si>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</si>
  <si>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</si>
  <si>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</si>
  <si>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</si>
  <si>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</si>
  <si>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</si>
  <si>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</si>
  <si>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</si>
  <si>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</si>
  <si>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</si>
  <si>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</si>
  <si>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</si>
  <si>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</si>
  <si>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</si>
  <si>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</si>
  <si>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</si>
  <si>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</si>
  <si>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</si>
  <si>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</si>
  <si>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</si>
  <si>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</si>
  <si>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</si>
  <si>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</si>
  <si>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</si>
  <si>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</si>
  <si>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</si>
  <si>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</si>
  <si>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</si>
  <si>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</si>
  <si>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</si>
  <si>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</si>
  <si>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</si>
  <si>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</si>
  <si>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</si>
  <si>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</si>
  <si>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</si>
  <si>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</si>
  <si>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</si>
  <si>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</si>
  <si>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</si>
  <si>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</si>
  <si>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</si>
  <si>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</si>
  <si>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</si>
  <si>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</si>
  <si>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</si>
  <si>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</si>
  <si>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</si>
  <si>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</si>
  <si>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</si>
  <si>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</si>
  <si>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</si>
  <si>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</si>
  <si>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</si>
  <si>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</si>
  <si>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</si>
  <si>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</si>
  <si>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</si>
  <si>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</si>
  <si>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</si>
  <si>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</si>
  <si>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</si>
  <si>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</si>
  <si>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</si>
  <si>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</si>
  <si>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</si>
  <si>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</si>
  <si>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</si>
  <si>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</si>
  <si>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</si>
  <si>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</si>
  <si>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</si>
  <si>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</si>
  <si>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</si>
  <si>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</si>
  <si>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</si>
  <si>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</si>
  <si>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</si>
  <si>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</si>
  <si>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</si>
  <si>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</si>
  <si>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</si>
  <si>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</si>
  <si>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</si>
  <si>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</si>
  <si>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</si>
  <si>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</si>
  <si>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</si>
  <si>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</si>
  <si>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</si>
  <si>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</si>
  <si>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</si>
  <si>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</si>
  <si>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</si>
  <si>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</si>
  <si>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</si>
  <si>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</si>
  <si>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</si>
  <si>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</si>
  <si>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</si>
  <si>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</si>
  <si>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</si>
  <si>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</si>
  <si>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</si>
  <si>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</si>
  <si>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</si>
  <si>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</si>
  <si>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</si>
  <si>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</si>
  <si>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</si>
  <si>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</si>
  <si>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</si>
  <si>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</si>
  <si>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</si>
  <si>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</si>
  <si>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</si>
  <si>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</si>
  <si>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</si>
  <si>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</si>
  <si>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</si>
  <si>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</si>
  <si>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</si>
  <si>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</si>
  <si>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</si>
  <si>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</si>
  <si>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</si>
  <si>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</si>
  <si>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</si>
  <si>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</si>
  <si>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</si>
  <si>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</si>
  <si>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</si>
  <si>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</si>
  <si>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</si>
  <si>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</si>
  <si>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</si>
  <si>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</si>
  <si>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</si>
  <si>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</si>
  <si>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</si>
  <si>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</si>
  <si>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</si>
  <si>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</si>
  <si>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</si>
  <si>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</si>
  <si>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</si>
  <si>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</si>
  <si>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</si>
  <si>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</si>
  <si>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</si>
  <si>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</si>
  <si>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</si>
  <si>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</si>
  <si>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</si>
  <si>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</si>
  <si>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</si>
  <si>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</si>
  <si>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</si>
  <si>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</si>
  <si>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</si>
  <si>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</si>
  <si>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</si>
  <si>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</si>
  <si>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</si>
  <si>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</si>
  <si>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</si>
  <si>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</si>
  <si>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</si>
  <si>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</si>
  <si>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</si>
  <si>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</si>
  <si>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</si>
  <si>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</si>
  <si>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</si>
  <si>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</si>
  <si>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</si>
  <si>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</si>
  <si>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</si>
  <si>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</si>
  <si>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</si>
  <si>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</si>
  <si>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</si>
  <si>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</si>
  <si>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</si>
  <si>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</si>
  <si>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</si>
  <si>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</si>
  <si>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</si>
  <si>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</si>
  <si>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</si>
  <si>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</si>
  <si>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</si>
  <si>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</si>
  <si>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</si>
  <si>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</si>
  <si>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</si>
  <si>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</si>
  <si>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</si>
  <si>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</si>
  <si>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</si>
  <si>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</si>
  <si>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</si>
  <si>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</si>
  <si>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</si>
  <si>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</si>
  <si>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</si>
  <si>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</si>
  <si>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</si>
  <si>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</si>
  <si>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</si>
  <si>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</si>
  <si>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</si>
  <si>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</si>
  <si>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</si>
  <si>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</si>
  <si>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</si>
  <si>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</si>
  <si>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</si>
  <si>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</si>
  <si>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</si>
  <si>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</si>
  <si>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</si>
  <si>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</si>
  <si>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</si>
  <si>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</si>
  <si>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</si>
  <si>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</si>
  <si>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</si>
  <si>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</si>
  <si>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</si>
  <si>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</si>
  <si>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</si>
  <si>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</si>
  <si>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</si>
  <si>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</si>
  <si>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</si>
  <si>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</si>
  <si>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</si>
  <si>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</si>
  <si>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</si>
  <si>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</si>
  <si>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</si>
  <si>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</si>
  <si>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</si>
  <si>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</si>
  <si>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</si>
  <si>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</si>
  <si>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</si>
  <si>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</si>
  <si>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</si>
  <si>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</si>
  <si>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</si>
  <si>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</si>
  <si>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</si>
  <si>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</si>
  <si>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</si>
  <si>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</si>
  <si>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</si>
  <si>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</si>
  <si>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</si>
  <si>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</si>
  <si>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</si>
  <si>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</si>
  <si>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</si>
  <si>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</si>
  <si>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</si>
  <si>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</si>
  <si>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</si>
  <si>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</si>
  <si>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</si>
  <si>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</si>
  <si>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</si>
  <si>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</si>
  <si>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</si>
  <si>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</si>
  <si>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</si>
  <si>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</si>
  <si>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</si>
  <si>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</si>
  <si>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</si>
  <si>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</si>
  <si>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</si>
  <si>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</si>
  <si>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</si>
  <si>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</si>
  <si>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</si>
  <si>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</si>
  <si>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</si>
  <si>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</si>
  <si>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</si>
  <si>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</si>
  <si>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</si>
  <si>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</si>
  <si>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</si>
  <si>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</si>
  <si>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</si>
  <si>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</si>
  <si>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</si>
  <si>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</si>
  <si>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</si>
  <si>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</si>
  <si>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</si>
  <si>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</si>
  <si>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</si>
  <si>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</si>
  <si>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</si>
  <si>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</si>
  <si>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</si>
  <si>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</si>
  <si>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</si>
  <si>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</si>
  <si>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</si>
  <si>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</si>
  <si>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</si>
  <si>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</si>
  <si>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</si>
  <si>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</si>
  <si>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</si>
  <si>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</si>
  <si>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</si>
  <si>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</si>
  <si>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</si>
  <si>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</si>
  <si>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</si>
  <si>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</si>
  <si>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</si>
  <si>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</si>
  <si>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</si>
  <si>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</si>
  <si>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</si>
  <si>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</si>
  <si>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</si>
  <si>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</si>
  <si>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</si>
  <si>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</si>
  <si>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</si>
  <si>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</si>
  <si>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</si>
  <si>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</si>
  <si>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</si>
  <si>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</si>
  <si>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</si>
  <si>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</si>
  <si>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</si>
  <si>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</si>
  <si>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</si>
  <si>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</si>
  <si>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</si>
  <si>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</si>
  <si>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</si>
  <si>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</si>
  <si>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</si>
  <si>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</si>
  <si>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</si>
  <si>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</si>
  <si>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</si>
  <si>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</si>
  <si>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</si>
  <si>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</si>
  <si>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</si>
  <si>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</si>
  <si>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</si>
  <si>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</si>
  <si>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</si>
  <si>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</si>
  <si>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</si>
  <si>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</si>
  <si>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</si>
  <si>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</si>
  <si>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</si>
  <si>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</si>
  <si>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</si>
  <si>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</si>
  <si>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</si>
  <si>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</si>
  <si>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</si>
  <si>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</si>
  <si>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</si>
  <si>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</si>
  <si>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</si>
  <si>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</si>
  <si>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</si>
  <si>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</si>
  <si>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</si>
  <si>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</si>
  <si>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</si>
  <si>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</si>
  <si>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</si>
  <si>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</si>
  <si>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</si>
  <si>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</si>
  <si>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</si>
  <si>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</si>
  <si>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</si>
  <si>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</si>
  <si>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</si>
  <si>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</si>
  <si>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</si>
  <si>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</si>
  <si>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</si>
  <si>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</si>
  <si>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</si>
  <si>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</si>
  <si>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</si>
  <si>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</si>
  <si>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</si>
  <si>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</si>
  <si>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</si>
  <si>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</si>
  <si>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</si>
  <si>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</si>
  <si>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</si>
  <si>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</si>
  <si>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</si>
  <si>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</si>
  <si>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</si>
  <si>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</si>
  <si>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</si>
  <si>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</si>
  <si>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</si>
  <si>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</si>
  <si>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</si>
  <si>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</si>
  <si>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</si>
  <si>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</si>
  <si>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</si>
  <si>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</si>
  <si>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</si>
  <si>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</si>
  <si>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</si>
  <si>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</si>
  <si>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</si>
  <si>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</si>
  <si>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</si>
  <si>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</si>
  <si>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</si>
  <si>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</si>
  <si>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</si>
  <si>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</si>
  <si>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</si>
  <si>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</si>
  <si>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</si>
  <si>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</si>
  <si>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</si>
  <si>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</si>
  <si>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</si>
  <si>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</si>
  <si>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</si>
  <si>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</si>
  <si>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</si>
  <si>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</si>
  <si>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</si>
  <si>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</si>
  <si>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</si>
  <si>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</si>
  <si>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</si>
  <si>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</si>
  <si>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</si>
  <si>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</si>
  <si>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</si>
  <si>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</si>
  <si>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</si>
  <si>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</si>
  <si>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</si>
  <si>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</si>
  <si>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</si>
  <si>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</si>
  <si>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</si>
  <si>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</si>
  <si>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</si>
  <si>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</si>
  <si>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</si>
  <si>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</si>
  <si>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</si>
  <si>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</si>
  <si>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</si>
  <si>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</si>
  <si>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</si>
  <si>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</si>
  <si>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</si>
  <si>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</si>
  <si>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</si>
  <si>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</si>
  <si>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</si>
  <si>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</si>
  <si>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</si>
  <si>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</si>
  <si>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</si>
  <si>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</si>
  <si>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</si>
  <si>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</si>
  <si>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</si>
  <si>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</si>
  <si>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</si>
  <si>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</si>
  <si>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</si>
  <si>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</si>
  <si>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</si>
  <si>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</si>
  <si>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</si>
  <si>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</si>
  <si>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</si>
  <si>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</si>
  <si>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</si>
  <si>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</si>
  <si>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</si>
  <si>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</si>
  <si>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</si>
  <si>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</si>
  <si>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</si>
  <si>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</si>
  <si>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</si>
  <si>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</si>
  <si>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</si>
  <si>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</si>
  <si>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</si>
  <si>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</si>
  <si>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</si>
  <si>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</si>
  <si>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</si>
  <si>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</si>
  <si>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</si>
  <si>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</si>
  <si>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</si>
  <si>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</si>
  <si>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</si>
  <si>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</si>
  <si>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</si>
  <si>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</si>
  <si>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</si>
  <si>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</si>
  <si>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</si>
  <si>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</si>
  <si>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</si>
  <si>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</si>
  <si>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</si>
  <si>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</si>
  <si>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</si>
  <si>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</si>
  <si>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</si>
  <si>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</si>
  <si>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</si>
  <si>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</si>
  <si>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</si>
  <si>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</si>
  <si>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</si>
  <si>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</si>
  <si>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</si>
  <si>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</si>
  <si>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</si>
  <si>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</si>
  <si>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</si>
  <si>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</si>
  <si>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</si>
  <si>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</si>
  <si>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</si>
  <si>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</si>
  <si>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</si>
  <si>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</si>
  <si>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</si>
  <si>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</si>
  <si>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</si>
  <si>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</si>
  <si>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</si>
  <si>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</si>
  <si>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</si>
  <si>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</si>
  <si>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</si>
  <si>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</si>
  <si>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</si>
  <si>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</si>
  <si>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</si>
  <si>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</si>
  <si>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</si>
  <si>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</si>
  <si>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</si>
  <si>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</si>
  <si>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</si>
  <si>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</si>
  <si>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</si>
  <si>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</si>
  <si>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</si>
  <si>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</si>
  <si>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</si>
  <si>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</si>
  <si>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</si>
  <si>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</si>
  <si>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</si>
  <si>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</si>
  <si>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</si>
  <si>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</si>
  <si>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</si>
  <si>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</si>
  <si>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</si>
  <si>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</si>
  <si>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</si>
  <si>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</si>
  <si>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</si>
  <si>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</si>
  <si>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</si>
  <si>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</si>
  <si>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</si>
  <si>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</si>
  <si>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</si>
  <si>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</si>
  <si>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</si>
  <si>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</si>
  <si>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</si>
  <si>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</si>
  <si>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</si>
  <si>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</si>
  <si>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</si>
  <si>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</si>
  <si>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</si>
  <si>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</si>
  <si>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</si>
  <si>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</si>
  <si>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</si>
  <si>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</si>
  <si>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</si>
  <si>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</si>
  <si>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</si>
  <si>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</si>
  <si>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</si>
  <si>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</si>
  <si>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</si>
  <si>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</si>
  <si>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</si>
  <si>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</si>
  <si>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</si>
  <si>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</si>
  <si>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</si>
  <si>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</si>
  <si>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</si>
  <si>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</si>
  <si>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</si>
  <si>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</si>
  <si>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</si>
  <si>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</si>
  <si>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</si>
  <si>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</si>
  <si>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</si>
  <si>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</si>
  <si>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</si>
  <si>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</si>
  <si>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</si>
  <si>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</si>
  <si>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</si>
  <si>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</si>
  <si>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</si>
  <si>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</si>
  <si>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</si>
  <si>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</si>
  <si>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</si>
  <si>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</si>
  <si>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</si>
  <si>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</si>
  <si>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</si>
  <si>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</si>
  <si>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</si>
  <si>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</si>
  <si>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</si>
  <si>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</si>
  <si>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</si>
  <si>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</si>
  <si>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</si>
  <si>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</si>
  <si>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</si>
  <si>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</si>
  <si>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</si>
  <si>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</si>
  <si>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</si>
  <si>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</si>
  <si>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</si>
  <si>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</si>
  <si>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</si>
  <si>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</si>
  <si>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</si>
  <si>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</si>
  <si>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</si>
  <si>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</si>
  <si>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</si>
  <si>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</si>
  <si>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</si>
  <si>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</si>
  <si>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</si>
  <si>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</si>
  <si>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</si>
  <si>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</si>
  <si>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</si>
  <si>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</si>
  <si>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</si>
  <si>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</si>
  <si>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</si>
  <si>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</si>
  <si>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</si>
  <si>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</si>
  <si>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</si>
  <si>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</si>
  <si>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</si>
  <si>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</si>
  <si>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</si>
  <si>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</si>
  <si>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</si>
  <si>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</si>
  <si>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</si>
  <si>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</si>
  <si>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</si>
  <si>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</si>
  <si>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</si>
  <si>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</si>
  <si>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</si>
  <si>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</si>
  <si>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</si>
  <si>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</si>
  <si>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</si>
  <si>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</si>
  <si>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</si>
  <si>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</si>
  <si>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</si>
  <si>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</si>
  <si>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</si>
  <si>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</si>
  <si>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</si>
  <si>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</si>
  <si>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</si>
  <si>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</si>
  <si>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</si>
  <si>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</si>
  <si>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</si>
  <si>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</si>
  <si>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</si>
  <si>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</si>
  <si>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</si>
  <si>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</si>
  <si>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</si>
  <si>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</si>
  <si>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</si>
  <si>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</si>
  <si>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</si>
  <si>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</si>
  <si>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</si>
  <si>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</si>
  <si>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</si>
  <si>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</si>
  <si>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</si>
  <si>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</si>
  <si>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</si>
  <si>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</si>
  <si>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</si>
  <si>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</si>
  <si>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</si>
  <si>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</si>
  <si>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</si>
  <si>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</si>
  <si>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</si>
  <si>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</si>
  <si>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</si>
  <si>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</si>
  <si>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</si>
  <si>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</si>
  <si>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</si>
  <si>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</si>
  <si>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</si>
  <si>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</si>
  <si>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</si>
  <si>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</si>
  <si>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</si>
  <si>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</si>
  <si>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</si>
  <si>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</si>
  <si>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</si>
  <si>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</si>
  <si>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</si>
  <si>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</si>
  <si>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</si>
  <si>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</si>
  <si>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</si>
  <si>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</si>
  <si>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</si>
  <si>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</si>
  <si>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</si>
  <si>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</si>
  <si>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</si>
  <si>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</si>
  <si>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</si>
  <si>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</si>
  <si>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</si>
  <si>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</si>
  <si>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</si>
  <si>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</si>
  <si>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</si>
  <si>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</si>
  <si>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</si>
  <si>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</si>
  <si>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</si>
  <si>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</si>
  <si>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</si>
  <si>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</si>
  <si>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</si>
  <si>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</si>
  <si>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</si>
  <si>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</si>
  <si>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</si>
  <si>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</si>
  <si>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</si>
  <si>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</si>
  <si>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</si>
  <si>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</si>
  <si>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</si>
  <si>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</si>
  <si>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</si>
  <si>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</si>
  <si>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</si>
  <si>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</si>
  <si>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</si>
  <si>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</si>
  <si>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</si>
  <si>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</si>
  <si>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</si>
  <si>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</si>
  <si>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</si>
  <si>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</si>
  <si>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</si>
  <si>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</si>
  <si>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</si>
  <si>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</si>
  <si>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</si>
  <si>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</si>
  <si>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</si>
  <si>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</si>
  <si>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</si>
  <si>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</si>
  <si>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</si>
  <si>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</si>
  <si>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</si>
  <si>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</si>
  <si>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</si>
  <si>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</si>
  <si>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</si>
  <si>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</si>
  <si>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</si>
  <si>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</si>
  <si>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</si>
  <si>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</si>
  <si>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</si>
  <si>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</si>
  <si>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</si>
  <si>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</si>
  <si>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</si>
  <si>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</si>
  <si>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</si>
  <si>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</si>
  <si>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</si>
  <si>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</si>
  <si>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</si>
  <si>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</si>
  <si>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</si>
  <si>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</si>
  <si>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</si>
  <si>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</si>
  <si>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</si>
  <si>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</si>
  <si>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</si>
  <si>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</si>
  <si>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</si>
  <si>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</si>
  <si>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</si>
  <si>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</si>
  <si>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</si>
  <si>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</si>
  <si>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</si>
  <si>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</si>
  <si>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</si>
  <si>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</si>
  <si>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</si>
  <si>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</si>
  <si>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</si>
  <si>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</si>
  <si>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</si>
  <si>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</si>
  <si>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</si>
  <si>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</si>
  <si>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</si>
  <si>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</si>
  <si>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</si>
  <si>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</si>
  <si>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</si>
  <si>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</si>
  <si>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</si>
  <si>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</si>
  <si>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</si>
  <si>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</si>
  <si>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</si>
  <si>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</si>
  <si>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</si>
  <si>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</si>
  <si>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</si>
  <si>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</si>
  <si>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</si>
  <si>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</si>
  <si>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</si>
  <si>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</si>
  <si>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</si>
  <si>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</si>
  <si>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</si>
  <si>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</si>
  <si>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</si>
  <si>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</si>
  <si>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</si>
  <si>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</si>
  <si>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</si>
  <si>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</si>
  <si>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</si>
  <si>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</si>
  <si>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</si>
  <si>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</si>
  <si>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</si>
  <si>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</si>
  <si>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</si>
  <si>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</si>
  <si>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</si>
  <si>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</si>
  <si>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</si>
  <si>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</si>
  <si>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</si>
  <si>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</si>
  <si>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</si>
  <si>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</si>
  <si>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</si>
  <si>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</si>
  <si>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</si>
  <si>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</si>
  <si>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</si>
  <si>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</si>
  <si>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</si>
  <si>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</si>
  <si>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</si>
  <si>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</si>
  <si>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</si>
  <si>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</si>
  <si>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</si>
  <si>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</si>
  <si>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</si>
  <si>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</si>
  <si>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</si>
  <si>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</si>
  <si>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</si>
  <si>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</si>
  <si>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</si>
  <si>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</si>
  <si>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</si>
  <si>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</si>
  <si>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</si>
  <si>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</si>
  <si>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</si>
  <si>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</si>
  <si>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</si>
  <si>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</si>
  <si>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</si>
  <si>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</si>
  <si>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</si>
  <si>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</si>
  <si>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</si>
  <si>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</si>
  <si>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</si>
  <si>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</si>
  <si>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</si>
  <si>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</si>
  <si>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</si>
  <si>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</si>
  <si>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</si>
  <si>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</si>
  <si>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</si>
  <si>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</si>
  <si>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</si>
  <si>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</si>
  <si>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</si>
  <si>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</si>
  <si>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</si>
  <si>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</si>
  <si>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</si>
  <si>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</si>
  <si>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</si>
  <si>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</si>
  <si>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</si>
  <si>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</si>
  <si>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</si>
  <si>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</si>
  <si>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</si>
  <si>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</si>
  <si>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</si>
  <si>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</si>
  <si>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</si>
  <si>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</si>
  <si>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</si>
  <si>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</si>
  <si>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</si>
  <si>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</si>
  <si>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</si>
  <si>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</si>
  <si>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</si>
  <si>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</si>
  <si>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</si>
  <si>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</si>
  <si>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</si>
  <si>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</si>
  <si>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</si>
  <si>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</si>
  <si>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</si>
  <si>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</si>
  <si>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</si>
  <si>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</si>
  <si>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</si>
  <si>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</si>
  <si>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</si>
  <si>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</si>
  <si>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</si>
  <si>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</si>
  <si>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</si>
  <si>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</si>
  <si>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</si>
  <si>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</si>
  <si>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</si>
  <si>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</si>
  <si>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</si>
  <si>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</si>
  <si>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</si>
  <si>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</si>
  <si>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</si>
  <si>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</si>
  <si>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</si>
  <si>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</si>
  <si>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</si>
  <si>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</si>
  <si>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</si>
  <si>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</si>
  <si>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</si>
  <si>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</si>
  <si>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</si>
  <si>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</si>
  <si>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</si>
  <si>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</si>
  <si>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</si>
  <si>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</si>
  <si>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</si>
  <si>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</si>
  <si>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</si>
  <si>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</si>
  <si>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</si>
  <si>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</si>
  <si>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</si>
  <si>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</si>
  <si>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</si>
  <si>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</si>
  <si>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</si>
  <si>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</si>
  <si>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</si>
  <si>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</si>
  <si>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</si>
  <si>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</si>
  <si>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</si>
  <si>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</si>
  <si>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</si>
  <si>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</si>
  <si>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</si>
  <si>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</si>
  <si>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</si>
  <si>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</si>
  <si>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</si>
  <si>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</si>
  <si>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</si>
  <si>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</si>
  <si>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</si>
  <si>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</si>
  <si>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</si>
  <si>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</si>
  <si>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</si>
  <si>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</si>
  <si>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</si>
  <si>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</si>
  <si>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</si>
  <si>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</si>
  <si>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</si>
  <si>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</si>
  <si>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</si>
  <si>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</si>
  <si>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</si>
  <si>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</si>
  <si>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</si>
  <si>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</si>
  <si>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</si>
  <si>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</si>
  <si>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</si>
  <si>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</si>
  <si>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</si>
  <si>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</si>
  <si>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</si>
  <si>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</si>
  <si>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</si>
  <si>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</si>
  <si>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</si>
  <si>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</si>
  <si>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</si>
  <si>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</si>
  <si>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</si>
  <si>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</si>
  <si>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</si>
  <si>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</si>
  <si>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</si>
  <si>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</si>
  <si>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</si>
  <si>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</si>
  <si>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</si>
  <si>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</si>
  <si>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</si>
  <si>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</si>
  <si>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</si>
  <si>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</si>
  <si>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</si>
  <si>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</si>
  <si>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</si>
  <si>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</si>
  <si>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</si>
  <si>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</si>
  <si>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</si>
  <si>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</si>
  <si>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</si>
  <si>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</si>
  <si>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</si>
  <si>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</si>
  <si>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</si>
  <si>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</si>
  <si>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</si>
  <si>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</si>
  <si>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</si>
  <si>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</si>
  <si>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</si>
  <si>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</si>
  <si>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</si>
  <si>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</si>
  <si>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</si>
  <si>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</si>
  <si>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</si>
  <si>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</si>
  <si>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</si>
  <si>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</si>
  <si>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</si>
  <si>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</si>
  <si>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</si>
  <si>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</si>
  <si>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</si>
  <si>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</si>
  <si>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</si>
  <si>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</si>
  <si>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</si>
  <si>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</si>
  <si>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</si>
  <si>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</si>
  <si>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</si>
  <si>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</si>
  <si>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</si>
  <si>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</si>
  <si>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</si>
  <si>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</si>
  <si>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</si>
  <si>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</si>
  <si>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</si>
  <si>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</si>
  <si>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</si>
  <si>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</si>
  <si>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</si>
  <si>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</si>
  <si>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</si>
  <si>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</si>
  <si>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</si>
  <si>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</si>
  <si>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</si>
  <si>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</si>
  <si>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</si>
  <si>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</si>
  <si>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</si>
  <si>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</si>
  <si>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</si>
  <si>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</si>
  <si>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</si>
  <si>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</si>
  <si>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</si>
  <si>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</si>
  <si>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</si>
  <si>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</si>
  <si>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</si>
  <si>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</si>
  <si>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</si>
  <si>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</si>
  <si>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</si>
  <si>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</si>
  <si>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</si>
  <si>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</si>
  <si>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</si>
  <si>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</si>
  <si>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</si>
  <si>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</si>
  <si>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</si>
  <si>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</si>
  <si>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</si>
  <si>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</si>
  <si>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</si>
  <si>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</si>
  <si>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</si>
  <si>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</si>
  <si>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</si>
  <si>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</si>
  <si>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</si>
  <si>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</si>
  <si>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</si>
  <si>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</si>
  <si>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</si>
  <si>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</si>
  <si>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</si>
  <si>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</si>
  <si>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</si>
  <si>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</si>
  <si>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</si>
  <si>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</si>
  <si>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</si>
  <si>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</si>
  <si>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</si>
  <si>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</si>
  <si>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</si>
  <si>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</si>
  <si>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</si>
  <si>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</si>
  <si>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</si>
  <si>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</si>
  <si>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</si>
  <si>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</si>
  <si>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</si>
  <si>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</si>
  <si>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</si>
  <si>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</si>
  <si>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</si>
  <si>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</si>
  <si>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</si>
  <si>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</si>
  <si>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</si>
  <si>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</si>
  <si>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</si>
  <si>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</si>
  <si>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</si>
  <si>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</si>
  <si>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</si>
  <si>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</si>
  <si>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</si>
  <si>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</si>
  <si>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</si>
  <si>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</si>
  <si>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</si>
  <si>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</si>
  <si>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</si>
  <si>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</si>
  <si>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</si>
  <si>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</si>
  <si>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</si>
  <si>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</si>
  <si>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</si>
  <si>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</si>
  <si>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</si>
  <si>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</si>
  <si>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</si>
  <si>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</si>
  <si>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</si>
  <si>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</si>
  <si>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</si>
  <si>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</si>
  <si>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</si>
  <si>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</si>
  <si>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</si>
  <si>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</si>
  <si>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</si>
  <si>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</si>
  <si>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</si>
  <si>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</si>
  <si>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</si>
  <si>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</si>
  <si>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</si>
  <si>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</si>
  <si>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</si>
  <si>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</si>
  <si>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</si>
  <si>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</si>
  <si>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</si>
  <si>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</si>
  <si>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</si>
  <si>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</si>
  <si>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</si>
  <si>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</si>
  <si>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</si>
  <si>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</si>
  <si>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</si>
  <si>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</si>
  <si>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</si>
  <si>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</si>
  <si>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</si>
  <si>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</si>
  <si>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</si>
  <si>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</si>
  <si>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</si>
  <si>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</si>
  <si>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</si>
  <si>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</si>
  <si>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</si>
  <si>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</si>
  <si>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</si>
  <si>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</si>
  <si>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</si>
  <si>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</si>
  <si>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</si>
  <si>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</si>
  <si>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</si>
  <si>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</si>
  <si>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</si>
  <si>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</si>
  <si>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</si>
  <si>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</si>
  <si>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</si>
  <si>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</si>
  <si>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</si>
  <si>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</si>
  <si>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</si>
  <si>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</si>
  <si>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</si>
  <si>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</si>
  <si>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</si>
  <si>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</si>
  <si>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</si>
  <si>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</si>
  <si>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</si>
  <si>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</si>
  <si>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</si>
  <si>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</si>
  <si>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</si>
  <si>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</si>
  <si>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</si>
  <si>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</si>
  <si>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</si>
  <si>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</si>
  <si>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</si>
  <si>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</si>
  <si>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</si>
  <si>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</si>
  <si>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</si>
  <si>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</si>
  <si>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</si>
  <si>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</si>
  <si>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</si>
  <si>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</si>
  <si>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</si>
  <si>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</si>
  <si>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</si>
  <si>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</si>
  <si>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</si>
  <si>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</si>
  <si>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</si>
  <si>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</si>
  <si>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</si>
  <si>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</si>
  <si>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</si>
  <si>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</si>
  <si>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</si>
  <si>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</si>
  <si>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</si>
  <si>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</si>
  <si>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</si>
  <si>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</si>
  <si>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</si>
  <si>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</si>
  <si>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</si>
  <si>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</si>
  <si>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</si>
  <si>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</si>
  <si>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</si>
  <si>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</si>
  <si>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</si>
  <si>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</si>
  <si>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</si>
  <si>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</si>
  <si>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</si>
  <si>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</si>
  <si>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</si>
  <si>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</si>
  <si>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</si>
  <si>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</si>
  <si>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</si>
  <si>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</si>
  <si>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</si>
  <si>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</si>
  <si>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</si>
  <si>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</si>
  <si>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</si>
  <si>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</si>
  <si>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</si>
  <si>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</si>
  <si>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</si>
  <si>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</si>
  <si>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</si>
  <si>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</si>
  <si>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</si>
  <si>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</si>
  <si>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</si>
  <si>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</si>
  <si>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</si>
  <si>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</si>
  <si>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</si>
  <si>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</si>
  <si>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</si>
  <si>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</si>
  <si>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</si>
  <si>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</si>
  <si>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</si>
  <si>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</si>
  <si>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</si>
  <si>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</si>
  <si>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</si>
  <si>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</si>
  <si>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</si>
  <si>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</si>
  <si>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</si>
  <si>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</si>
  <si>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</si>
  <si>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</si>
  <si>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</si>
  <si>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</si>
  <si>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</si>
  <si>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</si>
  <si>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</si>
  <si>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</si>
  <si>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</si>
  <si>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</si>
  <si>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</si>
  <si>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</si>
  <si>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</si>
  <si>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</si>
  <si>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</si>
  <si>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</si>
  <si>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</si>
  <si>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</si>
  <si>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</si>
  <si>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</si>
  <si>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</si>
  <si>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</si>
  <si>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</si>
  <si>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</si>
  <si>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</si>
  <si>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</si>
  <si>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</si>
  <si>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</si>
  <si>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</si>
  <si>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</si>
  <si>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</si>
  <si>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</si>
  <si>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</si>
  <si>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</si>
  <si>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</si>
  <si>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</si>
  <si>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</si>
  <si>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</si>
  <si>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</si>
  <si>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</si>
  <si>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</si>
  <si>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</si>
  <si>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</si>
  <si>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</si>
  <si>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</si>
  <si>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</si>
  <si>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</si>
  <si>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</si>
  <si>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</si>
  <si>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</si>
  <si>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</si>
  <si>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</si>
  <si>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</si>
  <si>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</si>
  <si>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</si>
  <si>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</si>
  <si>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</si>
  <si>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</si>
  <si>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</si>
  <si>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</si>
  <si>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</si>
  <si>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</si>
  <si>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</si>
  <si>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</si>
  <si>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</si>
  <si>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</si>
  <si>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</si>
  <si>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</si>
  <si>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</si>
  <si>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</si>
  <si>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</si>
  <si>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</si>
  <si>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</si>
  <si>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</si>
  <si>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</si>
  <si>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</si>
  <si>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</si>
  <si>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</si>
  <si>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</si>
  <si>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</si>
  <si>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</si>
  <si>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</si>
  <si>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</si>
  <si>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</si>
  <si>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</si>
  <si>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</si>
  <si>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</si>
  <si>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</si>
  <si>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</si>
  <si>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</si>
  <si>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</si>
  <si>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</si>
  <si>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</si>
  <si>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</si>
  <si>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</si>
  <si>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</si>
  <si>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</si>
  <si>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</si>
  <si>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</si>
  <si>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</si>
  <si>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</si>
  <si>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</si>
  <si>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</si>
  <si>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</si>
  <si>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</si>
  <si>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</si>
  <si>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</si>
  <si>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</si>
  <si>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</si>
  <si>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</si>
  <si>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</si>
  <si>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</si>
  <si>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</si>
  <si>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</si>
  <si>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</si>
  <si>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</si>
  <si>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</si>
  <si>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</si>
  <si>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</si>
  <si>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</si>
  <si>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</si>
  <si>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</si>
  <si>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</si>
  <si>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</si>
  <si>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</si>
  <si>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</si>
  <si>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</si>
  <si>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</si>
  <si>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</si>
  <si>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</si>
  <si>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</si>
  <si>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</si>
  <si>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</si>
  <si>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</si>
  <si>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</si>
  <si>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</si>
  <si>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</si>
  <si>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</si>
  <si>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</si>
  <si>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</si>
  <si>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</si>
  <si>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</si>
  <si>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</si>
  <si>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</si>
  <si>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</si>
  <si>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</si>
  <si>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</si>
  <si>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</si>
  <si>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</si>
  <si>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</si>
  <si>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</si>
  <si>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</si>
  <si>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</si>
  <si>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</si>
  <si>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</si>
  <si>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</si>
  <si>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</si>
  <si>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</si>
  <si>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</si>
  <si>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</si>
  <si>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</si>
  <si>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</si>
  <si>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</si>
  <si>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</si>
  <si>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</si>
  <si>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</si>
  <si>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</si>
  <si>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</si>
  <si>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</si>
  <si>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</si>
  <si>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</si>
  <si>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</si>
  <si>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</si>
  <si>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</si>
  <si>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</si>
  <si>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</si>
  <si>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</si>
  <si>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</si>
  <si>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</si>
  <si>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</si>
  <si>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</si>
  <si>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</si>
  <si>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</si>
  <si>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</si>
  <si>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</si>
  <si>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</si>
  <si>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</si>
  <si>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</si>
  <si>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</si>
  <si>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</si>
  <si>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</si>
  <si>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</si>
  <si>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</si>
  <si>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</si>
  <si>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</si>
  <si>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</si>
  <si>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</si>
  <si>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</si>
  <si>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</si>
  <si>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</si>
  <si>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</si>
  <si>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</si>
  <si>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</si>
  <si>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</si>
  <si>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</si>
  <si>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</si>
  <si>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</si>
  <si>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</si>
  <si>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</si>
  <si>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</si>
  <si>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</si>
  <si>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</si>
  <si>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</si>
  <si>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</si>
  <si>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</si>
  <si>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</si>
  <si>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</si>
  <si>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</si>
  <si>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</si>
  <si>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</si>
  <si>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</si>
  <si>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</si>
  <si>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</si>
  <si>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</si>
  <si>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</si>
  <si>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</si>
  <si>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</si>
  <si>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</si>
  <si>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</si>
  <si>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</si>
  <si>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</si>
  <si>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</si>
  <si>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</si>
  <si>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</si>
  <si>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</si>
  <si>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</si>
  <si>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</si>
  <si>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</si>
  <si>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</si>
  <si>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</si>
  <si>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</si>
  <si>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</si>
  <si>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</si>
  <si>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</si>
  <si>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</si>
  <si>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</si>
  <si>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</si>
  <si>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</si>
  <si>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</si>
  <si>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</si>
  <si>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</si>
  <si>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</si>
  <si>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</si>
  <si>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</si>
  <si>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</si>
  <si>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</si>
  <si>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</si>
  <si>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</si>
  <si>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</si>
  <si>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</si>
  <si>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</si>
  <si>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</si>
  <si>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</si>
  <si>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</si>
  <si>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</si>
  <si>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</si>
  <si>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</si>
  <si>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</si>
  <si>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</si>
  <si>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</si>
  <si>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</si>
  <si>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</si>
  <si>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</si>
  <si>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</si>
  <si>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</si>
  <si>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</si>
  <si>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</si>
  <si>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</si>
  <si>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</si>
  <si>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</si>
  <si>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</si>
  <si>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</si>
  <si>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</si>
  <si>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</si>
  <si>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</si>
  <si>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</si>
  <si>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</si>
  <si>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</si>
  <si>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</si>
  <si>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</si>
  <si>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</si>
  <si>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</si>
  <si>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</si>
  <si>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</si>
  <si>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</si>
  <si>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</si>
  <si>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</si>
  <si>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</si>
  <si>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</si>
  <si>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</si>
  <si>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</si>
  <si>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</si>
  <si>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</si>
  <si>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</si>
  <si>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</si>
  <si>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</si>
  <si>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</si>
  <si>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</si>
  <si>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</si>
  <si>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</si>
  <si>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</si>
  <si>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</si>
  <si>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</si>
  <si>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</si>
  <si>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</si>
  <si>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</si>
  <si>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</si>
  <si>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</si>
  <si>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</si>
  <si>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</si>
  <si>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</si>
  <si>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</si>
  <si>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</si>
  <si>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</si>
  <si>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</si>
  <si>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</si>
  <si>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</si>
  <si>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</si>
  <si>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</si>
  <si>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</si>
  <si>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</si>
  <si>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</si>
  <si>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</si>
  <si>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</si>
  <si>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</si>
  <si>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</si>
  <si>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</si>
  <si>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</si>
  <si>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</si>
  <si>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</si>
  <si>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</si>
  <si>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</si>
  <si>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</si>
  <si>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</si>
  <si>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</si>
  <si>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</si>
  <si>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</si>
  <si>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</si>
  <si>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</si>
  <si>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</si>
  <si>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</si>
  <si>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</si>
  <si>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</si>
  <si>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</si>
  <si>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</si>
  <si>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</si>
  <si>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</si>
  <si>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</si>
  <si>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</si>
  <si>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</si>
  <si>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</si>
  <si>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</si>
  <si>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</si>
  <si>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</si>
  <si>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</si>
  <si>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</si>
  <si>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</si>
  <si>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</si>
  <si>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</si>
  <si>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</si>
  <si>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</si>
  <si>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</si>
  <si>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</si>
  <si>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</si>
  <si>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</si>
  <si>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</si>
  <si>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</si>
  <si>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</si>
  <si>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</si>
  <si>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</si>
  <si>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</si>
  <si>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</si>
  <si>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</si>
  <si>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</si>
  <si>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</si>
  <si>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</si>
  <si>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</si>
  <si>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</si>
  <si>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</si>
  <si>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</si>
  <si>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</si>
  <si>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</si>
  <si>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</si>
  <si>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</si>
  <si>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</si>
  <si>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</si>
  <si>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</si>
  <si>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</si>
  <si>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</si>
  <si>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</si>
  <si>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</si>
  <si>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</si>
  <si>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</si>
  <si>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</si>
  <si>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</si>
  <si>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</si>
  <si>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</si>
  <si>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</si>
  <si>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</si>
  <si>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</si>
  <si>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</si>
  <si>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</si>
  <si>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</si>
  <si>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</si>
  <si>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</si>
  <si>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</si>
  <si>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</si>
  <si>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</si>
  <si>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</si>
  <si>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</si>
  <si>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</si>
  <si>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</si>
  <si>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</si>
  <si>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</si>
  <si>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</si>
  <si>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</si>
  <si>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</si>
  <si>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</si>
  <si>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</si>
  <si>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</si>
  <si>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</si>
  <si>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</si>
  <si>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</si>
  <si>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</si>
  <si>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</si>
  <si>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</si>
  <si>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</si>
  <si>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</si>
  <si>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</si>
  <si>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</si>
  <si>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</si>
  <si>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</si>
  <si>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</si>
  <si>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</si>
  <si>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</si>
  <si>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</si>
  <si>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</si>
  <si>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</si>
  <si>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</si>
  <si>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</si>
  <si>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</si>
  <si>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</si>
  <si>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</si>
  <si>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</si>
  <si>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</si>
  <si>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</si>
  <si>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</si>
  <si>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</si>
  <si>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</si>
  <si>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</si>
  <si>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</si>
  <si>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</si>
  <si>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</si>
  <si>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</si>
  <si>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</si>
  <si>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</si>
  <si>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</si>
  <si>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</si>
  <si>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</si>
  <si>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</si>
  <si>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</si>
  <si>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</si>
  <si>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</si>
  <si>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</si>
  <si>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</si>
  <si>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</si>
  <si>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</si>
  <si>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</si>
  <si>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</si>
  <si>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</si>
  <si>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</si>
  <si>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</si>
  <si>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</si>
  <si>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</si>
  <si>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</si>
  <si>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</si>
  <si>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</si>
  <si>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</si>
  <si>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</si>
  <si>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</si>
  <si>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</si>
  <si>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</si>
  <si>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</si>
  <si>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</si>
  <si>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</si>
  <si>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</si>
  <si>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</si>
  <si>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</si>
  <si>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</si>
  <si>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</si>
  <si>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</si>
  <si>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</si>
  <si>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</si>
  <si>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</si>
  <si>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</si>
  <si>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</si>
  <si>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</si>
  <si>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</si>
  <si>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</si>
  <si>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</si>
  <si>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</si>
  <si>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</si>
  <si>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</si>
  <si>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</si>
  <si>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</si>
  <si>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</si>
  <si>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</si>
  <si>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</si>
  <si>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</si>
  <si>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</si>
  <si>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</si>
  <si>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</si>
  <si>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</si>
  <si>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</si>
  <si>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</si>
  <si>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</si>
  <si>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</si>
  <si>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</si>
  <si>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</si>
  <si>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</si>
  <si>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</si>
  <si>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</si>
  <si>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</si>
  <si>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</si>
  <si>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</si>
  <si>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</si>
  <si>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</si>
  <si>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</si>
  <si>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</si>
  <si>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</si>
  <si>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</si>
  <si>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</si>
  <si>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</si>
  <si>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</si>
  <si>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</si>
  <si>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</si>
  <si>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</si>
  <si>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</si>
  <si>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</si>
  <si>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</si>
  <si>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</si>
  <si>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</si>
  <si>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</si>
  <si>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</si>
  <si>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</si>
  <si>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</si>
  <si>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</si>
  <si>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</si>
  <si>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</si>
  <si>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</si>
  <si>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</si>
  <si>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</si>
  <si>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</si>
  <si>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</si>
  <si>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</si>
  <si>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</si>
  <si>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</si>
  <si>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</si>
  <si>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</si>
  <si>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</si>
  <si>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</si>
  <si>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</si>
  <si>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</si>
  <si>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</si>
  <si>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</si>
  <si>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</si>
  <si>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</si>
  <si>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</si>
  <si>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</si>
  <si>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</si>
  <si>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</si>
  <si>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</si>
  <si>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</si>
  <si>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</si>
  <si>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</si>
  <si>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</si>
  <si>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</si>
  <si>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</si>
  <si>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</si>
  <si>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</si>
  <si>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</si>
  <si>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</si>
  <si>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</si>
  <si>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</si>
  <si>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</si>
  <si>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</si>
  <si>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</si>
  <si>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</si>
  <si>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</si>
  <si>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</si>
  <si>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</si>
  <si>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</si>
  <si>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</si>
  <si>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</si>
  <si>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</si>
  <si>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</si>
  <si>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</si>
  <si>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</si>
  <si>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</si>
  <si>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</si>
  <si>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</si>
  <si>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</si>
  <si>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</si>
  <si>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</si>
  <si>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</si>
  <si>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</si>
  <si>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</si>
  <si>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</si>
  <si>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</si>
  <si>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</si>
  <si>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</si>
  <si>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</si>
  <si>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</si>
  <si>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</si>
  <si>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</si>
  <si>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</si>
  <si>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</si>
  <si>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</si>
  <si>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</si>
  <si>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</si>
  <si>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</si>
  <si>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</si>
  <si>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</si>
  <si>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</si>
  <si>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</si>
  <si>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</si>
  <si>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</si>
  <si>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</si>
  <si>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</si>
  <si>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</si>
  <si>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</si>
  <si>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</si>
  <si>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</si>
  <si>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</si>
  <si>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</si>
  <si>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</si>
  <si>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</si>
  <si>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</si>
  <si>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</si>
  <si>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</si>
  <si>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</si>
  <si>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</si>
  <si>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</si>
  <si>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</si>
  <si>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</si>
  <si>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</si>
  <si>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</si>
  <si>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</si>
  <si>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</si>
  <si>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</si>
  <si>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</si>
  <si>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</si>
  <si>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</si>
  <si>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</si>
  <si>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</si>
  <si>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</si>
  <si>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</si>
  <si>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</si>
  <si>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</si>
  <si>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</si>
  <si>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</si>
  <si>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</si>
  <si>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</si>
  <si>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</si>
  <si>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</si>
  <si>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</si>
  <si>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</si>
  <si>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</si>
  <si>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</si>
  <si>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</si>
  <si>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</si>
  <si>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</si>
  <si>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</si>
  <si>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</si>
  <si>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</si>
  <si>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</si>
  <si>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</si>
  <si>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</si>
  <si>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</si>
  <si>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</si>
  <si>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</si>
  <si>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</si>
  <si>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</si>
  <si>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</si>
  <si>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</si>
  <si>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</si>
  <si>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</si>
  <si>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</si>
  <si>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</si>
  <si>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</si>
  <si>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</si>
  <si>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</si>
  <si>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</si>
  <si>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</si>
  <si>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</si>
  <si>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</si>
  <si>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</si>
  <si>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</si>
  <si>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</si>
  <si>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</si>
  <si>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</si>
  <si>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</si>
  <si>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</si>
  <si>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</si>
  <si>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</si>
  <si>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</si>
  <si>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</si>
  <si>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</si>
  <si>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</si>
  <si>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</si>
  <si>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</si>
  <si>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</si>
  <si>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</si>
  <si>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</si>
  <si>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</si>
  <si>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</si>
  <si>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</si>
  <si>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</si>
  <si>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</si>
  <si>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</si>
  <si>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</si>
  <si>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</si>
  <si>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</si>
  <si>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</si>
  <si>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</si>
  <si>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</si>
  <si>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</si>
  <si>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</si>
  <si>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</si>
  <si>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</si>
  <si>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</si>
  <si>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</si>
  <si>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</si>
  <si>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</si>
  <si>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</si>
  <si>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</si>
  <si>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</si>
  <si>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</si>
  <si>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</si>
  <si>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</si>
  <si>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</si>
  <si>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</si>
  <si>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</si>
  <si>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</si>
  <si>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</si>
  <si>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</si>
  <si>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</si>
  <si>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</si>
  <si>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</si>
  <si>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</si>
  <si>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</si>
  <si>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</si>
  <si>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</si>
  <si>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</si>
  <si>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</si>
  <si>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</si>
  <si>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</si>
  <si>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</si>
  <si>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</si>
  <si>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</si>
  <si>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</si>
  <si>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</si>
  <si>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</si>
  <si>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</si>
  <si>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</si>
  <si>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</si>
  <si>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</si>
  <si>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</si>
  <si>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</si>
  <si>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</si>
  <si>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</si>
  <si>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</si>
  <si>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</si>
  <si>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</si>
  <si>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</si>
  <si>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</si>
  <si>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</si>
  <si>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</si>
  <si>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</si>
  <si>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</si>
  <si>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</si>
  <si>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</si>
  <si>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</si>
  <si>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</si>
  <si>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</si>
  <si>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</si>
  <si>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</si>
  <si>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</si>
  <si>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</si>
  <si>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</si>
  <si>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</si>
  <si>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</si>
  <si>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</si>
  <si>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</si>
  <si>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</si>
  <si>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</si>
  <si>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</si>
  <si>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</si>
  <si>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</si>
  <si>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</si>
  <si>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</si>
  <si>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</si>
  <si>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</si>
  <si>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</si>
  <si>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</si>
  <si>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</si>
  <si>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</si>
  <si>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</si>
  <si>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</si>
  <si>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</si>
  <si>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</si>
  <si>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</si>
  <si>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</si>
  <si>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</si>
  <si>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</si>
  <si>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</si>
  <si>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</si>
  <si>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</si>
  <si>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</si>
  <si>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</si>
  <si>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</si>
  <si>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</si>
  <si>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</si>
  <si>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</si>
  <si>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</si>
  <si>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</si>
  <si>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</si>
  <si>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</si>
  <si>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</si>
  <si>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</si>
  <si>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</si>
  <si>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</si>
  <si>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</si>
  <si>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</si>
  <si>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</si>
  <si>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</si>
  <si>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</si>
  <si>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</si>
  <si>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</si>
  <si>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</si>
  <si>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</si>
  <si>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</si>
  <si>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</si>
  <si>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</si>
  <si>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</si>
  <si>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</si>
  <si>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</si>
  <si>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</si>
  <si>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</si>
  <si>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</si>
  <si>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</si>
  <si>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</si>
  <si>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</si>
  <si>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</si>
  <si>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</si>
  <si>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</si>
  <si>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</si>
  <si>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</si>
  <si>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</si>
  <si>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</si>
  <si>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</si>
  <si>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</si>
  <si>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</si>
  <si>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</si>
  <si>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</si>
  <si>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</si>
  <si>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</si>
  <si>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</si>
  <si>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</si>
  <si>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</si>
  <si>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</si>
  <si>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</si>
  <si>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</si>
  <si>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</si>
  <si>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</si>
  <si>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</si>
  <si>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SAN CLEMENTE</t>
  </si>
  <si>
    <t xml:space="preserve">Occhiatana</t>
  </si>
  <si>
    <t xml:space="preserve">06222370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</si>
  <si>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</si>
  <si>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</si>
  <si>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</si>
  <si>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</si>
  <si>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</si>
  <si>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</si>
  <si>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</si>
  <si>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</si>
  <si>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</si>
  <si>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</si>
  <si>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</si>
  <si>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</si>
  <si>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</si>
  <si>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</si>
  <si>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</si>
  <si>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</si>
  <si>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</si>
  <si>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</si>
  <si>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</si>
  <si>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</si>
  <si>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</si>
  <si>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</si>
  <si>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</si>
  <si>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</si>
  <si>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</si>
  <si>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</si>
  <si>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</si>
  <si>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</si>
  <si>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</si>
  <si>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</si>
  <si>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</si>
  <si>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</si>
  <si>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</si>
  <si>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</si>
  <si>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</si>
  <si>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</si>
  <si>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</si>
  <si>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</si>
  <si>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</si>
  <si>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</si>
  <si>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</si>
  <si>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</si>
  <si>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</si>
  <si>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</si>
  <si>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</si>
  <si>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</si>
  <si>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</si>
  <si>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</si>
  <si>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</si>
  <si>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</si>
  <si>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(9,7845 %)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</si>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</sst>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12.1428571428571</v>
      </c>
      <c r="M5" s="323"/>
      <c r="N5" s="324" t="s">
        <v>142</v>
      </c>
      <c r="O5" s="325" t="n">
        <v>11.3636363636364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70</v>
      </c>
      <c r="C7" s="337" t="n">
        <v>30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9.35714285714286</v>
      </c>
      <c r="O8" s="354" t="n">
        <f aca="false">IF(ISERROR(AVERAGE(J23:J82)),"      -",AVERAGE(J23:J82))</f>
        <v>1.35714285714286</v>
      </c>
      <c r="P8" s="355"/>
      <c r="Q8" s="280"/>
      <c r="R8" s="280"/>
      <c r="S8" s="280"/>
      <c r="T8" s="280"/>
      <c r="U8" s="280"/>
      <c r="V8" s="280"/>
      <c r="W8" s="292"/>
      <c r="X8" s="293"/>
    </row>
    <row r="9" customFormat="false" ht="13.5" hidden="false" customHeight="false" outlineLevel="0" collapsed="false">
      <c r="A9" s="313" t="s">
        <v>2635</v>
      </c>
      <c r="B9" s="356" t="n">
        <v>10.5</v>
      </c>
      <c r="C9" s="357" t="n">
        <v>8</v>
      </c>
      <c r="D9" s="358"/>
      <c r="E9" s="358"/>
      <c r="F9" s="359" t="n">
        <f aca="false">($B9*$B$7+$C9*$C$7)/100</f>
        <v>9.75</v>
      </c>
      <c r="G9" s="360"/>
      <c r="H9" s="361"/>
      <c r="I9" s="362"/>
      <c r="J9" s="363"/>
      <c r="K9" s="343"/>
      <c r="L9" s="364"/>
      <c r="M9" s="353" t="s">
        <v>2636</v>
      </c>
      <c r="N9" s="354" t="n">
        <f aca="false">IF(ISERROR(STDEVP(I23:I82)),"     -",STDEVP(I23:I82))</f>
        <v>4.87862894757977</v>
      </c>
      <c r="O9" s="354" t="n">
        <f aca="false">IF(ISERROR(STDEVP(J23:J82)),"      -",STDEVP(J23:J82))</f>
        <v>0.717848258651492</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14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10.56</v>
      </c>
      <c r="C20" s="436" t="n">
        <f aca="false">SUM(C23:C82)</f>
        <v>7.975</v>
      </c>
      <c r="D20" s="437"/>
      <c r="E20" s="438" t="s">
        <v>2660</v>
      </c>
      <c r="F20" s="439" t="n">
        <f aca="false">($B20*$B$7+$C20*$C$7)/100</f>
        <v>9.7845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7.392</v>
      </c>
      <c r="C21" s="449" t="n">
        <f aca="false">C20*C7/100</f>
        <v>2.3925</v>
      </c>
      <c r="D21" s="381" t="str">
        <f aca="false">IF(F21=0,"",IF((ABS(F21-F19))&gt;(0.2*F21),CONCATENATE(" rec. par taxa (",F21," %) supérieur à 20 % !"),""))</f>
        <v> rec. par taxa (9,7845 %) supérieur à 20 % !</v>
      </c>
      <c r="E21" s="450" t="str">
        <f aca="false">IF(F21=0,"",IF((ABS(F21-F19))&gt;(0.2*F21),CONCATENATE("ATTENTION : écart entre rec. par grp (",F19," %) ","et",""),""))</f>
        <v>ATTENTION : écart entre rec. par grp (0 %) et</v>
      </c>
      <c r="F21" s="451" t="n">
        <f aca="false">B21+C21</f>
        <v>9.7845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0.0035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0.0035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0.2</v>
      </c>
      <c r="C24" s="495" t="n">
        <v>0.005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0.1415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0.1415</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500"/>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9</v>
      </c>
      <c r="C25" s="495" t="n">
        <v>6.5</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8.25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8.25</v>
      </c>
      <c r="R25" s="487" t="n">
        <f aca="false">IF(OR(ISTEXT(H25),Q25=0),"",IF(Q25&lt;0.1,1,IF(Q25&lt;1,2,IF(Q25&lt;10,3,IF(Q25&lt;50,4,IF(Q25&gt;=50,5,""))))))</f>
        <v>3</v>
      </c>
      <c r="S25" s="487" t="n">
        <f aca="false">IF(ISERROR(R25*I25),0,R25*I25)</f>
        <v>45</v>
      </c>
      <c r="T25" s="487" t="n">
        <f aca="false">IF(ISERROR(R25*I25*J25),0,R25*I25*J25)</f>
        <v>90</v>
      </c>
      <c r="U25" s="499" t="n">
        <f aca="false">IF(ISERROR(R25*J25),0,R25*J25)</f>
        <v>6</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0.75</v>
      </c>
      <c r="C26" s="495" t="n">
        <v>0.1</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0.555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0.555</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0.0035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0.0035</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359</v>
      </c>
      <c r="B28" s="494" t="n">
        <v>0.5</v>
      </c>
      <c r="C28" s="495" t="n">
        <v>1.35</v>
      </c>
      <c r="D28" s="477" t="str">
        <f aca="false">IF(ISERROR(VLOOKUP($A28,'liste reference'!$A$7:$D$904,2,0)),IF(ISERROR(VLOOKUP($A28,'liste reference'!$B$7:$D$904,1,0)),"",VLOOKUP($A28,'liste reference'!$B$7:$D$904,1,0)),VLOOKUP($A28,'liste reference'!$A$7:$D$904,2,0))</f>
        <v>Chiloscyphus polyanthos</v>
      </c>
      <c r="E28" s="496" t="e">
        <f aca="false">IF(D28="",0,VLOOKUP(D28,D$22:D27,1,0))</f>
        <v>#N/A</v>
      </c>
      <c r="F28" s="497" t="n">
        <f aca="false">($B28*$B$7+$C28*$C$7)/100</f>
        <v>0.755</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Chiloscyphus polyanthos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1186</v>
      </c>
      <c r="Q28" s="486" t="n">
        <f aca="false">IF(ISTEXT(H28),"",(B28*$B$7/100)+(C28*$C$7/100))</f>
        <v>0.755</v>
      </c>
      <c r="R28" s="487" t="n">
        <f aca="false">IF(OR(ISTEXT(H28),Q28=0),"",IF(Q28&lt;0.1,1,IF(Q28&lt;1,2,IF(Q28&lt;10,3,IF(Q28&lt;50,4,IF(Q28&gt;=50,5,""))))))</f>
        <v>2</v>
      </c>
      <c r="S28" s="487" t="n">
        <f aca="false">IF(ISERROR(R28*I28),0,R28*I28)</f>
        <v>30</v>
      </c>
      <c r="T28" s="487" t="n">
        <f aca="false">IF(ISERROR(R28*I28*J28),0,R28*I28*J28)</f>
        <v>60</v>
      </c>
      <c r="U28" s="499" t="n">
        <f aca="false">IF(ISERROR(R28*J28),0,R28*J28)</f>
        <v>4</v>
      </c>
      <c r="V28" s="488" t="str">
        <f aca="false">IF(AND(A28="",F28=0),"",IF(F28=0,"Il manque le(s) % de rec. !",""))</f>
        <v/>
      </c>
      <c r="W28" s="489"/>
      <c r="Y28" s="490" t="str">
        <f aca="false">IF(A28="new.cod","NEWCOD",IF(AND((Z28=""),ISTEXT(A28)),A28,IF(Z28="","",INDEX('liste reference'!$A$8:$A$904,Z28))))</f>
        <v>CHIPOL</v>
      </c>
      <c r="Z28" s="280" t="n">
        <f aca="false">IF(ISERROR(MATCH(A28,'liste reference'!$A$8:$A$904,0)),IF(ISERROR(MATCH(A28,'liste reference'!$B$8:$B$904,0)),"",(MATCH(A28,'liste reference'!$B$8:$B$904,0))),(MATCH(A28,'liste reference'!$A$8:$A$904,0)))</f>
        <v>97</v>
      </c>
      <c r="AA28" s="491"/>
      <c r="AB28" s="492"/>
      <c r="AC28" s="492"/>
      <c r="BB28" s="280" t="n">
        <f aca="false">IF(A28="","",1)</f>
        <v>1</v>
      </c>
    </row>
    <row r="29" customFormat="false" ht="12.75" hidden="false" customHeight="false" outlineLevel="0" collapsed="false">
      <c r="A29" s="493" t="s">
        <v>645</v>
      </c>
      <c r="B29" s="494" t="n">
        <v>0.02</v>
      </c>
      <c r="C29" s="495"/>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0.014</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0.014</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489"/>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2.75" hidden="false" customHeight="false" outlineLevel="0" collapsed="false">
      <c r="A30" s="493" t="s">
        <v>1054</v>
      </c>
      <c r="B30" s="494" t="n">
        <v>0.05</v>
      </c>
      <c r="C30" s="495" t="n">
        <v>0.005</v>
      </c>
      <c r="D30" s="477" t="str">
        <f aca="false">IF(ISERROR(VLOOKUP($A30,'liste reference'!$A$7:$D$904,2,0)),IF(ISERROR(VLOOKUP($A30,'liste reference'!$B$7:$D$904,1,0)),"",VLOOKUP($A30,'liste reference'!$B$7:$D$904,1,0)),VLOOKUP($A30,'liste reference'!$A$7:$D$904,2,0))</f>
        <v>Rhynchostegium riparioides</v>
      </c>
      <c r="E30" s="496" t="e">
        <f aca="false">IF(D30="",0,VLOOKUP(D30,D$22:D29,1,0))</f>
        <v>#N/A</v>
      </c>
      <c r="F30" s="497" t="n">
        <f aca="false">($B30*$B$7+$C30*$C$7)/100</f>
        <v>0.0365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1268</v>
      </c>
      <c r="Q30" s="486" t="n">
        <f aca="false">IF(ISTEXT(H30),"",(B30*$B$7/100)+(C30*$C$7/100))</f>
        <v>0.0365</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RHYRIP</v>
      </c>
      <c r="Z30" s="280" t="n">
        <f aca="false">IF(ISERROR(MATCH(A30,'liste reference'!$A$8:$A$904,0)),IF(ISERROR(MATCH(A30,'liste reference'!$B$8:$B$904,0)),"",(MATCH(A30,'liste reference'!$B$8:$B$904,0))),(MATCH(A30,'liste reference'!$A$8:$A$904,0)))</f>
        <v>252</v>
      </c>
      <c r="AA30" s="491"/>
      <c r="AB30" s="492"/>
      <c r="AC30" s="492"/>
      <c r="BB30" s="280" t="n">
        <f aca="false">IF(A30="","",1)</f>
        <v>1</v>
      </c>
    </row>
    <row r="31" customFormat="false" ht="12.75" hidden="false" customHeight="false" outlineLevel="0" collapsed="false">
      <c r="A31" s="493" t="s">
        <v>1224</v>
      </c>
      <c r="B31" s="494" t="n">
        <v>0.005</v>
      </c>
      <c r="C31" s="495"/>
      <c r="D31" s="477" t="str">
        <f aca="false">IF(ISERROR(VLOOKUP($A31,'liste reference'!$A$7:$D$904,2,0)),IF(ISERROR(VLOOKUP($A31,'liste reference'!$B$7:$D$904,1,0)),"",VLOOKUP($A31,'liste reference'!$B$7:$D$904,1,0)),VLOOKUP($A31,'liste reference'!$A$7:$D$904,2,0))</f>
        <v>Apium nodiflorum</v>
      </c>
      <c r="E31" s="496" t="e">
        <f aca="false">IF(D31="",0,VLOOKUP(D31,D$22:D30,1,0))</f>
        <v>#N/A</v>
      </c>
      <c r="F31" s="497" t="n">
        <f aca="false">($B31*$B$7+$C31*$C$7)/100</f>
        <v>0.0035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Apium nodiflorum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1974</v>
      </c>
      <c r="Q31" s="486" t="n">
        <f aca="false">IF(ISTEXT(H31),"",(B31*$B$7/100)+(C31*$C$7/100))</f>
        <v>0.0035</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APINOD</v>
      </c>
      <c r="Z31" s="280" t="n">
        <f aca="false">IF(ISERROR(MATCH(A31,'liste reference'!$A$8:$A$904,0)),IF(ISERROR(MATCH(A31,'liste reference'!$B$8:$B$904,0)),"",(MATCH(A31,'liste reference'!$B$8:$B$904,0))),(MATCH(A31,'liste reference'!$A$8:$A$904,0)))</f>
        <v>309</v>
      </c>
      <c r="AA31" s="491"/>
      <c r="AB31" s="492"/>
      <c r="AC31" s="492"/>
      <c r="BB31" s="280" t="n">
        <f aca="false">IF(A31="","",1)</f>
        <v>1</v>
      </c>
    </row>
    <row r="32" customFormat="false" ht="12.75" hidden="false" customHeight="false" outlineLevel="0" collapsed="false">
      <c r="A32" s="493" t="s">
        <v>1254</v>
      </c>
      <c r="B32" s="494" t="n">
        <v>0.005</v>
      </c>
      <c r="C32" s="495" t="n">
        <v>0.005</v>
      </c>
      <c r="D32" s="477" t="str">
        <f aca="false">IF(ISERROR(VLOOKUP($A32,'liste reference'!$A$7:$D$904,2,0)),IF(ISERROR(VLOOKUP($A32,'liste reference'!$B$7:$D$904,1,0)),"",VLOOKUP($A32,'liste reference'!$B$7:$D$904,1,0)),VLOOKUP($A32,'liste reference'!$A$7:$D$904,2,0))</f>
        <v>Callitriche obtusangula</v>
      </c>
      <c r="E32" s="496" t="e">
        <f aca="false">IF(D32="",0,VLOOKUP(D32,D$22:D31,1,0))</f>
        <v>#N/A</v>
      </c>
      <c r="F32" s="497" t="n">
        <f aca="false">($B32*$B$7+$C32*$C$7)/100</f>
        <v>0.005</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Callitriche obtusangula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1700</v>
      </c>
      <c r="Q32" s="486" t="n">
        <f aca="false">IF(ISTEXT(H32),"",(B32*$B$7/100)+(C32*$C$7/100))</f>
        <v>0.005</v>
      </c>
      <c r="R32" s="487" t="n">
        <f aca="false">IF(OR(ISTEXT(H32),Q32=0),"",IF(Q32&lt;0.1,1,IF(Q32&lt;1,2,IF(Q32&lt;10,3,IF(Q32&lt;50,4,IF(Q32&gt;=50,5,""))))))</f>
        <v>1</v>
      </c>
      <c r="S32" s="487" t="n">
        <f aca="false">IF(ISERROR(R32*I32),0,R32*I32)</f>
        <v>8</v>
      </c>
      <c r="T32" s="487" t="n">
        <f aca="false">IF(ISERROR(R32*I32*J32),0,R32*I32*J32)</f>
        <v>16</v>
      </c>
      <c r="U32" s="499" t="n">
        <f aca="false">IF(ISERROR(R32*J32),0,R32*J32)</f>
        <v>2</v>
      </c>
      <c r="V32" s="488" t="str">
        <f aca="false">IF(AND(A32="",F32=0),"",IF(F32=0,"Il manque le(s) % de rec. !",""))</f>
        <v/>
      </c>
      <c r="W32" s="489"/>
      <c r="X32" s="489"/>
      <c r="Y32" s="490" t="str">
        <f aca="false">IF(A32="new.cod","NEWCOD",IF(AND((Z32=""),ISTEXT(A32)),A32,IF(Z32="","",INDEX('liste reference'!$A$8:$A$904,Z32))))</f>
        <v>CALOBT</v>
      </c>
      <c r="Z32" s="280" t="n">
        <f aca="false">IF(ISERROR(MATCH(A32,'liste reference'!$A$8:$A$904,0)),IF(ISERROR(MATCH(A32,'liste reference'!$B$8:$B$904,0)),"",(MATCH(A32,'liste reference'!$B$8:$B$904,0))),(MATCH(A32,'liste reference'!$A$8:$A$904,0)))</f>
        <v>320</v>
      </c>
      <c r="AA32" s="491"/>
      <c r="AB32" s="492"/>
      <c r="AC32" s="492"/>
      <c r="BB32" s="280" t="n">
        <f aca="false">IF(A32="","",1)</f>
        <v>1</v>
      </c>
    </row>
    <row r="33" customFormat="false" ht="12.75" hidden="false" customHeight="false" outlineLevel="0" collapsed="false">
      <c r="A33" s="493" t="s">
        <v>1782</v>
      </c>
      <c r="B33" s="494" t="n">
        <v>0.005</v>
      </c>
      <c r="C33" s="495"/>
      <c r="D33" s="477" t="str">
        <f aca="false">IF(ISERROR(VLOOKUP($A33,'liste reference'!$A$7:$D$904,2,0)),IF(ISERROR(VLOOKUP($A33,'liste reference'!$B$7:$D$904,1,0)),"",VLOOKUP($A33,'liste reference'!$B$7:$D$904,1,0)),VLOOKUP($A33,'liste reference'!$A$7:$D$904,2,0))</f>
        <v>Carex pendula</v>
      </c>
      <c r="E33" s="496" t="e">
        <f aca="false">IF(D33="",0,VLOOKUP(D33,D$22:D32,1,0))</f>
        <v>#N/A</v>
      </c>
      <c r="F33" s="497" t="n">
        <f aca="false">($B33*$B$7+$C33*$C$7)/100</f>
        <v>0.0035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Carex pendula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1485</v>
      </c>
      <c r="Q33" s="486" t="n">
        <f aca="false">IF(ISTEXT(H33),"",(B33*$B$7/100)+(C33*$C$7/100))</f>
        <v>0.0035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CARPEN</v>
      </c>
      <c r="Z33" s="280" t="n">
        <f aca="false">IF(ISERROR(MATCH(A33,'liste reference'!$A$8:$A$904,0)),IF(ISERROR(MATCH(A33,'liste reference'!$B$8:$B$904,0)),"",(MATCH(A33,'liste reference'!$B$8:$B$904,0))),(MATCH(A33,'liste reference'!$A$8:$A$904,0)))</f>
        <v>541</v>
      </c>
      <c r="AA33" s="491"/>
      <c r="AB33" s="492"/>
      <c r="AC33" s="492"/>
      <c r="BB33" s="280" t="n">
        <f aca="false">IF(A33="","",1)</f>
        <v>1</v>
      </c>
    </row>
    <row r="34" customFormat="false" ht="12.75" hidden="false" customHeight="false" outlineLevel="0" collapsed="false">
      <c r="A34" s="493" t="s">
        <v>1943</v>
      </c>
      <c r="B34" s="494" t="n">
        <v>0.005</v>
      </c>
      <c r="C34" s="495"/>
      <c r="D34" s="477" t="str">
        <f aca="false">IF(ISERROR(VLOOKUP($A34,'liste reference'!$A$7:$D$904,2,0)),IF(ISERROR(VLOOKUP($A34,'liste reference'!$B$7:$D$904,1,0)),"",VLOOKUP($A34,'liste reference'!$B$7:$D$904,1,0)),VLOOKUP($A34,'liste reference'!$A$7:$D$904,2,0))</f>
        <v>Mentha sp.</v>
      </c>
      <c r="E34" s="496" t="e">
        <f aca="false">IF(D34="",0,VLOOKUP(D34,D$22:D33,1,0))</f>
        <v>#N/A</v>
      </c>
      <c r="F34" s="501" t="n">
        <f aca="false">($B34*$B$7+$C34*$C$7)/100</f>
        <v>0.0035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Mentha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1790</v>
      </c>
      <c r="Q34" s="486" t="n">
        <f aca="false">IF(ISTEXT(H34),"",(B34*$B$7/100)+(C34*$C$7/100))</f>
        <v>0.0035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MENSPX</v>
      </c>
      <c r="Z34" s="280" t="n">
        <f aca="false">IF(ISERROR(MATCH(A34,'liste reference'!$A$8:$A$904,0)),IF(ISERROR(MATCH(A34,'liste reference'!$B$8:$B$904,0)),"",(MATCH(A34,'liste reference'!$B$8:$B$904,0))),(MATCH(A34,'liste reference'!$A$8:$A$904,0)))</f>
        <v>610</v>
      </c>
      <c r="AA34" s="491"/>
      <c r="AB34" s="492"/>
      <c r="AC34" s="492"/>
      <c r="BB34" s="280" t="n">
        <f aca="false">IF(A34="","",1)</f>
        <v>1</v>
      </c>
    </row>
    <row r="35" customFormat="false" ht="12.75" hidden="false" customHeight="false" outlineLevel="0" collapsed="false">
      <c r="A35" s="493" t="s">
        <v>1984</v>
      </c>
      <c r="B35" s="494" t="n">
        <v>0.005</v>
      </c>
      <c r="C35" s="495" t="n">
        <v>0.005</v>
      </c>
      <c r="D35" s="477" t="str">
        <f aca="false">IF(ISERROR(VLOOKUP($A35,'liste reference'!$A$7:$D$904,2,0)),IF(ISERROR(VLOOKUP($A35,'liste reference'!$B$7:$D$904,1,0)),"",VLOOKUP($A35,'liste reference'!$B$7:$D$904,1,0)),VLOOKUP($A35,'liste reference'!$A$7:$D$904,2,0))</f>
        <v>Nasturtium officinale</v>
      </c>
      <c r="E35" s="496" t="e">
        <f aca="false">IF(D35="",0,VLOOKUP(D35,D$22:D34,1,0))</f>
        <v>#N/A</v>
      </c>
      <c r="F35" s="501" t="n">
        <f aca="false">($B35*$B$7+$C35*$C$7)/100</f>
        <v>0.005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Nasturtium officinale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1763</v>
      </c>
      <c r="Q35" s="486" t="n">
        <f aca="false">IF(ISTEXT(H35),"",(B35*$B$7/100)+(C35*$C$7/100))</f>
        <v>0.005</v>
      </c>
      <c r="R35" s="487" t="n">
        <f aca="false">IF(OR(ISTEXT(H35),Q35=0),"",IF(Q35&lt;0.1,1,IF(Q35&lt;1,2,IF(Q35&lt;10,3,IF(Q35&lt;50,4,IF(Q35&gt;=50,5,""))))))</f>
        <v>1</v>
      </c>
      <c r="S35" s="487" t="n">
        <f aca="false">IF(ISERROR(R35*I35),0,R35*I35)</f>
        <v>11</v>
      </c>
      <c r="T35" s="487" t="n">
        <f aca="false">IF(ISERROR(R35*I35*J35),0,R35*I35*J35)</f>
        <v>11</v>
      </c>
      <c r="U35" s="499" t="n">
        <f aca="false">IF(ISERROR(R35*J35),0,R35*J35)</f>
        <v>1</v>
      </c>
      <c r="V35" s="488" t="str">
        <f aca="false">IF(AND(A35="",F35=0),"",IF(F35=0,"Il manque le(s) % de rec. !",""))</f>
        <v/>
      </c>
      <c r="W35" s="489"/>
      <c r="Y35" s="490" t="str">
        <f aca="false">IF(A35="new.cod","NEWCOD",IF(AND((Z35=""),ISTEXT(A35)),A35,IF(Z35="","",INDEX('liste reference'!$A$8:$A$904,Z35))))</f>
        <v>NASOFF</v>
      </c>
      <c r="Z35" s="280" t="n">
        <f aca="false">IF(ISERROR(MATCH(A35,'liste reference'!$A$8:$A$904,0)),IF(ISERROR(MATCH(A35,'liste reference'!$B$8:$B$904,0)),"",(MATCH(A35,'liste reference'!$B$8:$B$904,0))),(MATCH(A35,'liste reference'!$A$8:$A$904,0)))</f>
        <v>628</v>
      </c>
      <c r="AA35" s="491"/>
      <c r="AB35" s="492"/>
      <c r="AC35" s="492"/>
      <c r="BB35" s="280" t="n">
        <f aca="false">IF(A35="","",1)</f>
        <v>1</v>
      </c>
    </row>
    <row r="36" customFormat="false" ht="12.75" hidden="false" customHeight="false" outlineLevel="0" collapsed="false">
      <c r="A36" s="493" t="s">
        <v>1991</v>
      </c>
      <c r="B36" s="494" t="n">
        <v>0.005</v>
      </c>
      <c r="C36" s="495" t="n">
        <v>0.005</v>
      </c>
      <c r="D36" s="477" t="str">
        <f aca="false">IF(ISERROR(VLOOKUP($A36,'liste reference'!$A$7:$D$904,2,0)),IF(ISERROR(VLOOKUP($A36,'liste reference'!$B$7:$D$904,1,0)),"",VLOOKUP($A36,'liste reference'!$B$7:$D$904,1,0)),VLOOKUP($A36,'liste reference'!$A$7:$D$904,2,0))</f>
        <v>Oenanthe crocata</v>
      </c>
      <c r="E36" s="496" t="e">
        <f aca="false">IF(D36="",0,VLOOKUP(D36,D$22:D35,1,0))</f>
        <v>#N/A</v>
      </c>
      <c r="F36" s="501" t="n">
        <f aca="false">($B36*$B$7+$C36*$C$7)/100</f>
        <v>0.005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Oenanthe crocata</v>
      </c>
      <c r="L36" s="498"/>
      <c r="M36" s="498"/>
      <c r="N36" s="498"/>
      <c r="O36" s="484" t="s">
        <v>2685</v>
      </c>
      <c r="P36" s="485" t="n">
        <f aca="false">IF($A36="NEWCOD",IF($AC36="","No",$AC36),IF(ISTEXT($E36),"DEJA SAISI !",IF($A36="","",IF(ISERROR(VLOOKUP($A36,'liste reference'!A:S,19,FALSE())),IF(ISERROR(VLOOKUP($A36,'liste reference'!B:S,19,FALSE())),"",VLOOKUP($A36,'liste reference'!B:S,19,FALSE())),VLOOKUP($A36,'liste reference'!A:S,19,FALSE())))))</f>
        <v>1986</v>
      </c>
      <c r="Q36" s="486" t="n">
        <f aca="false">IF(ISTEXT(H36),"",(B36*$B$7/100)+(C36*$C$7/100))</f>
        <v>0.005</v>
      </c>
      <c r="R36" s="487" t="n">
        <f aca="false">IF(OR(ISTEXT(H36),Q36=0),"",IF(Q36&lt;0.1,1,IF(Q36&lt;1,2,IF(Q36&lt;10,3,IF(Q36&lt;50,4,IF(Q36&gt;=50,5,""))))))</f>
        <v>1</v>
      </c>
      <c r="S36" s="487" t="n">
        <f aca="false">IF(ISERROR(R36*I36),0,R36*I36)</f>
        <v>12</v>
      </c>
      <c r="T36" s="487" t="n">
        <f aca="false">IF(ISERROR(R36*I36*J36),0,R36*I36*J36)</f>
        <v>24</v>
      </c>
      <c r="U36" s="499" t="n">
        <f aca="false">IF(ISERROR(R36*J36),0,R36*J36)</f>
        <v>2</v>
      </c>
      <c r="V36" s="488" t="str">
        <f aca="false">IF(AND(A36="",F36=0),"",IF(F36=0,"Il manque le(s) % de rec. !",""))</f>
        <v/>
      </c>
      <c r="W36" s="489"/>
      <c r="Y36" s="490" t="str">
        <f aca="false">IF(A36="new.cod","NEWCOD",IF(AND((Z36=""),ISTEXT(A36)),A36,IF(Z36="","",INDEX('liste reference'!$A$8:$A$904,Z36))))</f>
        <v>OENCRO</v>
      </c>
      <c r="Z36" s="280" t="n">
        <f aca="false">IF(ISERROR(MATCH(A36,'liste reference'!$A$8:$A$904,0)),IF(ISERROR(MATCH(A36,'liste reference'!$B$8:$B$904,0)),"",(MATCH(A36,'liste reference'!$B$8:$B$904,0))),(MATCH(A36,'liste reference'!$A$8:$A$904,0)))</f>
        <v>630</v>
      </c>
      <c r="AA36" s="491" t="s">
        <v>2685</v>
      </c>
      <c r="AB36" s="492"/>
      <c r="AC36" s="492"/>
      <c r="BB36" s="280" t="n">
        <f aca="false">IF(A36="","",1)</f>
        <v>1</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SAN CLEMENTE</v>
      </c>
      <c r="B84" s="529" t="str">
        <f aca="false">C3</f>
        <v>Occhiatana</v>
      </c>
      <c r="C84" s="530" t="n">
        <f aca="false">A4</f>
        <v>41445</v>
      </c>
      <c r="D84" s="531" t="n">
        <f aca="false">IF(ISERROR(SUM($T$23:$T$82)/SUM($U$23:$U$82)),"",SUM($T$23:$T$82)/SUM($U$23:$U$82))</f>
        <v>12.1428571428571</v>
      </c>
      <c r="E84" s="532" t="n">
        <f aca="false">N13</f>
        <v>14</v>
      </c>
      <c r="F84" s="529" t="n">
        <f aca="false">N14</f>
        <v>14</v>
      </c>
      <c r="G84" s="529" t="n">
        <f aca="false">N15</f>
        <v>5</v>
      </c>
      <c r="H84" s="529" t="n">
        <f aca="false">N16</f>
        <v>7</v>
      </c>
      <c r="I84" s="529" t="n">
        <f aca="false">N17</f>
        <v>0</v>
      </c>
      <c r="J84" s="533" t="n">
        <f aca="false">N8</f>
        <v>9.35714285714286</v>
      </c>
      <c r="K84" s="531" t="n">
        <f aca="false">N9</f>
        <v>4.87862894757977</v>
      </c>
      <c r="L84" s="532" t="n">
        <f aca="false">N10</f>
        <v>0</v>
      </c>
      <c r="M84" s="532" t="n">
        <f aca="false">N11</f>
        <v>15</v>
      </c>
      <c r="N84" s="531" t="n">
        <f aca="false">O8</f>
        <v>1.35714285714286</v>
      </c>
      <c r="O84" s="531" t="n">
        <f aca="false">O9</f>
        <v>0.717848258651492</v>
      </c>
      <c r="P84" s="532" t="n">
        <f aca="false">O10</f>
        <v>0</v>
      </c>
      <c r="Q84" s="532" t="n">
        <f aca="false">O11</f>
        <v>2</v>
      </c>
      <c r="R84" s="532" t="n">
        <f aca="false">F21</f>
        <v>9.7845</v>
      </c>
      <c r="S84" s="532" t="n">
        <f aca="false">K11</f>
        <v>0</v>
      </c>
      <c r="T84" s="532" t="n">
        <f aca="false">K12</f>
        <v>5</v>
      </c>
      <c r="U84" s="532" t="n">
        <f aca="false">K13</f>
        <v>3</v>
      </c>
      <c r="V84" s="534" t="n">
        <f aca="false">K14</f>
        <v>0</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45</v>
      </c>
      <c r="T87" s="280"/>
      <c r="U87" s="280"/>
      <c r="V87" s="280"/>
    </row>
    <row r="88" customFormat="false" ht="12.75" hidden="true" customHeight="false" outlineLevel="0" collapsed="false">
      <c r="P88" s="280"/>
      <c r="Q88" s="280" t="s">
        <v>2689</v>
      </c>
      <c r="R88" s="280"/>
      <c r="S88" s="488" t="n">
        <f aca="false">VLOOKUP((S87),($S$23:$U$82),2,0)</f>
        <v>90</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11.3636363636364</v>
      </c>
      <c r="T90" s="280"/>
    </row>
    <row r="91" customFormat="false" ht="12.75" hidden="false" customHeight="false" outlineLevel="0" collapsed="false">
      <c r="Q91" s="487" t="s">
        <v>2692</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2693</v>
      </c>
      <c r="R92" s="280"/>
      <c r="S92" s="280" t="n">
        <f aca="false">MATCH(S87,$S$23:$S$82,0)</f>
        <v>3</v>
      </c>
      <c r="T92" s="280"/>
    </row>
    <row r="93" customFormat="false" ht="12.75" hidden="false" customHeight="false" outlineLevel="0" collapsed="false">
      <c r="Q93" s="487" t="s">
        <v>2694</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2014-01-29T17:31:08Z</dcterms:modified>
  <cp:revision>0</cp:revision>
  <dc:subject/>
  <dc:title>Feuille d'aide au calcul de l'IBMR</dc:title>
</cp:coreProperties>
</file>