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Regino a Occhiatana"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'Regino a Occhiatana'!$A$1:$Q$82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'Regino a Occhiatana'!$A$1:$C$1415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<sst xmlns="http://schemas.openxmlformats.org/spreadsheetml/2006/main" count="9996" uniqueCount="3493">
  <si>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</si>
  <si>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</si>
  <si>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</si>
  <si>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</si>
  <si>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</si>
  <si>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</si>
  <si>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</si>
  <si>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</si>
  <si>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</si>
  <si>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</si>
  <si>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</si>
  <si>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</si>
  <si>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</si>
  <si>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</si>
  <si>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</si>
  <si>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</si>
  <si>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</si>
  <si>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</si>
  <si>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</si>
  <si>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</si>
  <si>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</si>
  <si>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</si>
  <si>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</si>
  <si>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</si>
  <si>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</si>
  <si>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</si>
  <si>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</si>
  <si>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</si>
  <si>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</si>
  <si>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</si>
  <si>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</si>
  <si>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</si>
  <si>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</si>
  <si>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</si>
  <si>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</si>
  <si>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</si>
  <si>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</si>
  <si>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</si>
  <si>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</si>
  <si>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</si>
  <si>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</si>
  <si>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</si>
  <si>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</si>
  <si>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</si>
  <si>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</si>
  <si>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</si>
  <si>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</si>
  <si>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</si>
  <si>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</si>
  <si>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</si>
  <si>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</si>
  <si>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</si>
  <si>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</si>
  <si>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</si>
  <si>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</si>
  <si>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</si>
  <si>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</si>
  <si>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</si>
  <si>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</si>
  <si>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</si>
  <si>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</si>
  <si>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</si>
  <si>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</si>
  <si>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</si>
  <si>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</si>
  <si>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</si>
  <si>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</si>
  <si>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</si>
  <si>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</si>
  <si>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</si>
  <si>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</si>
  <si>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</si>
  <si>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</si>
  <si>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</si>
  <si>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</si>
  <si>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</si>
  <si>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</si>
  <si>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</si>
  <si>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</si>
  <si>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</si>
  <si>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</si>
  <si>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</si>
  <si>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</si>
  <si>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</si>
  <si>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</si>
  <si>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</si>
  <si>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</si>
  <si>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</si>
  <si>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</si>
  <si>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</si>
  <si>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</si>
  <si>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</si>
  <si>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</si>
  <si>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</si>
  <si>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</si>
  <si>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</si>
  <si>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</si>
  <si>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</si>
  <si>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</si>
  <si>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</si>
  <si>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</si>
  <si>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</si>
  <si>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</si>
  <si>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</si>
  <si>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</si>
  <si>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</si>
  <si>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</si>
  <si>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</si>
  <si>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</si>
  <si>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</si>
  <si>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</si>
  <si>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</si>
  <si>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</si>
  <si>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</si>
  <si>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</si>
  <si>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</si>
  <si>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</si>
  <si>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</si>
  <si>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</si>
  <si>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</si>
  <si>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</si>
  <si>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</si>
  <si>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</si>
  <si>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</si>
  <si>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</si>
  <si>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</si>
  <si>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</si>
  <si>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</si>
  <si>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</si>
  <si>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</si>
  <si>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</si>
  <si>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</si>
  <si>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</si>
  <si>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</si>
  <si>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</si>
  <si>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</si>
  <si>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</si>
  <si>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</si>
  <si>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</si>
  <si>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</si>
  <si>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</si>
  <si>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</si>
  <si>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</si>
  <si>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</si>
  <si>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</si>
  <si>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</si>
  <si>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</si>
  <si>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</si>
  <si>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</si>
  <si>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</si>
  <si>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</si>
  <si>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</si>
  <si>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</si>
  <si>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</si>
  <si>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</si>
  <si>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</si>
  <si>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</si>
  <si>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</si>
  <si>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</si>
  <si>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</si>
  <si>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</si>
  <si>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</si>
  <si>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</si>
  <si>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</si>
  <si>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</si>
  <si>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</si>
  <si>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</si>
  <si>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</si>
  <si>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</si>
  <si>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</si>
  <si>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</si>
  <si>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</si>
  <si>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</si>
  <si>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</si>
  <si>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</si>
  <si>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</si>
  <si>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</si>
  <si>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</si>
  <si>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</si>
  <si>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</si>
  <si>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</si>
  <si>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</si>
  <si>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</si>
  <si>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</si>
  <si>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</si>
  <si>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</si>
  <si>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</si>
  <si>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</si>
  <si>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</si>
  <si>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</si>
  <si>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</si>
  <si>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</si>
  <si>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</si>
  <si>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</si>
  <si>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</si>
  <si>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</si>
  <si>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</si>
  <si>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</si>
  <si>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</si>
  <si>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</si>
  <si>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</si>
  <si>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</si>
  <si>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</si>
  <si>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</si>
  <si>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</si>
  <si>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</si>
  <si>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</si>
  <si>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</si>
  <si>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</si>
  <si>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</si>
  <si>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</si>
  <si>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</si>
  <si>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</si>
  <si>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</si>
  <si>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</si>
  <si>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</si>
  <si>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</si>
  <si>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</si>
  <si>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</si>
  <si>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</si>
  <si>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</si>
  <si>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</si>
  <si>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</si>
  <si>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</si>
  <si>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</si>
  <si>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</si>
  <si>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</si>
  <si>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</si>
  <si>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</si>
  <si>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</si>
  <si>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</si>
  <si>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</si>
  <si>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</si>
  <si>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</si>
  <si>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</si>
  <si>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</si>
  <si>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</si>
  <si>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</si>
  <si>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</si>
  <si>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</si>
  <si>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</si>
  <si>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</si>
  <si>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</si>
  <si>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</si>
  <si>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</si>
  <si>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</si>
  <si>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</si>
  <si>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</si>
  <si>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</si>
  <si>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</si>
  <si>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</si>
  <si>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</si>
  <si>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</si>
  <si>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</si>
  <si>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</si>
  <si>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</si>
  <si>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</si>
  <si>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</si>
  <si>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</si>
  <si>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</si>
  <si>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</si>
  <si>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</si>
  <si>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</si>
  <si>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</si>
  <si>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</si>
  <si>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</si>
  <si>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</si>
  <si>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</si>
  <si>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</si>
  <si>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</si>
  <si>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</si>
  <si>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</si>
  <si>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</si>
  <si>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</si>
  <si>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</si>
  <si>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</si>
  <si>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</si>
  <si>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</si>
  <si>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</si>
  <si>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</si>
  <si>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</si>
  <si>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</si>
  <si>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</si>
  <si>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</si>
  <si>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</si>
  <si>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</si>
  <si>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</si>
  <si>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</si>
  <si>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</si>
  <si>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</si>
  <si>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</si>
  <si>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</si>
  <si>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</si>
  <si>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</si>
  <si>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</si>
  <si>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</si>
  <si>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</si>
  <si>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</si>
  <si>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</si>
  <si>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</si>
  <si>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</si>
  <si>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</si>
  <si>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</si>
  <si>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</si>
  <si>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</si>
  <si>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</si>
  <si>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</si>
  <si>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</si>
  <si>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</si>
  <si>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</si>
  <si>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</si>
  <si>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</si>
  <si>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</si>
  <si>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</si>
  <si>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</si>
  <si>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</si>
  <si>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</si>
  <si>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</si>
  <si>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</si>
  <si>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</si>
  <si>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</si>
  <si>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</si>
  <si>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</si>
  <si>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</si>
  <si>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</si>
  <si>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</si>
  <si>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</si>
  <si>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</si>
  <si>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</si>
  <si>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</si>
  <si>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</si>
  <si>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</si>
  <si>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</si>
  <si>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</si>
  <si>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</si>
  <si>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</si>
  <si>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</si>
  <si>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</si>
  <si>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</si>
  <si>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</si>
  <si>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</si>
  <si>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</si>
  <si>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</si>
  <si>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</si>
  <si>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</si>
  <si>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</si>
  <si>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</si>
  <si>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</si>
  <si>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</si>
  <si>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</si>
  <si>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</si>
  <si>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</si>
  <si>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</si>
  <si>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</si>
  <si>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</si>
  <si>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</si>
  <si>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</si>
  <si>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</si>
  <si>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</si>
  <si>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</si>
  <si>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</si>
  <si>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</si>
  <si>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</si>
  <si>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</si>
  <si>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</si>
  <si>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</si>
  <si>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</si>
  <si>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</si>
  <si>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</si>
  <si>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</si>
  <si>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</si>
  <si>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</si>
  <si>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</si>
  <si>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</si>
  <si>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</si>
  <si>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</si>
  <si>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</si>
  <si>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</si>
  <si>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</si>
  <si>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</si>
  <si>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</si>
  <si>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</si>
  <si>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</si>
  <si>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</si>
  <si>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</si>
  <si>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</si>
  <si>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</si>
  <si>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</si>
  <si>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</si>
  <si>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</si>
  <si>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</si>
  <si>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</si>
  <si>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</si>
  <si>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</si>
  <si>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</si>
  <si>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</si>
  <si>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</si>
  <si>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</si>
  <si>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</si>
  <si>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</si>
  <si>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</si>
  <si>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</si>
  <si>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</si>
  <si>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</si>
  <si>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</si>
  <si>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</si>
  <si>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</si>
  <si>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</si>
  <si>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</si>
  <si>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</si>
  <si>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</si>
  <si>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</si>
  <si>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</si>
  <si>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</si>
  <si>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</si>
  <si>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</si>
  <si>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</si>
  <si>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</si>
  <si>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</si>
  <si>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</si>
  <si>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</si>
  <si>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</si>
  <si>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</si>
  <si>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</si>
  <si>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</si>
  <si>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</si>
  <si>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</si>
  <si>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</si>
  <si>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</si>
  <si>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</si>
  <si>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</si>
  <si>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</si>
  <si>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</si>
  <si>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</si>
  <si>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</si>
  <si>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</si>
  <si>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</si>
  <si>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</si>
  <si>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</si>
  <si>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</si>
  <si>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</si>
  <si>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</si>
  <si>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</si>
  <si>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</si>
  <si>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</si>
  <si>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</si>
  <si>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</si>
  <si>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</si>
  <si>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</si>
  <si>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</si>
  <si>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</si>
  <si>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</si>
  <si>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</si>
  <si>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</si>
  <si>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</si>
  <si>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</si>
  <si>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</si>
  <si>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</si>
  <si>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</si>
  <si>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</si>
  <si>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</si>
  <si>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</si>
  <si>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</si>
  <si>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</si>
  <si>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</si>
  <si>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</si>
  <si>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</si>
  <si>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</si>
  <si>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</si>
  <si>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</si>
  <si>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</si>
  <si>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</si>
  <si>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</si>
  <si>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</si>
  <si>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</si>
  <si>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</si>
  <si>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</si>
  <si>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</si>
  <si>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</si>
  <si>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</si>
  <si>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</si>
  <si>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</si>
  <si>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</si>
  <si>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</si>
  <si>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</si>
  <si>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</si>
  <si>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</si>
  <si>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</si>
  <si>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</si>
  <si>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</si>
  <si>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</si>
  <si>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</si>
  <si>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</si>
  <si>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</si>
  <si>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</si>
  <si>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</si>
  <si>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</si>
  <si>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</si>
  <si>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</si>
  <si>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</si>
  <si>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</si>
  <si>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</si>
  <si>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</si>
  <si>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</si>
  <si>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</si>
  <si>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</si>
  <si>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</si>
  <si>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</si>
  <si>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</si>
  <si>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</si>
  <si>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</si>
  <si>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</si>
  <si>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</si>
  <si>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</si>
  <si>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</si>
  <si>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</si>
  <si>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</si>
  <si>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</si>
  <si>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</si>
  <si>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</si>
  <si>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</si>
  <si>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</si>
  <si>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</si>
  <si>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</si>
  <si>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</si>
  <si>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</si>
  <si>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</si>
  <si>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</si>
  <si>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</si>
  <si>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</si>
  <si>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</si>
  <si>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</si>
  <si>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</si>
  <si>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</si>
  <si>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</si>
  <si>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</si>
  <si>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</si>
  <si>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</si>
  <si>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</si>
  <si>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</si>
  <si>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</si>
  <si>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</si>
  <si>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</si>
  <si>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</si>
  <si>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</si>
  <si>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</si>
  <si>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</si>
  <si>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</si>
  <si>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</si>
  <si>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</si>
  <si>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</si>
  <si>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</si>
  <si>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</si>
  <si>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</si>
  <si>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</si>
  <si>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</si>
  <si>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</si>
  <si>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</si>
  <si>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</si>
  <si>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</si>
  <si>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</si>
  <si>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</si>
  <si>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</si>
  <si>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</si>
  <si>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</si>
  <si>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</si>
  <si>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</si>
  <si>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</si>
  <si>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</si>
  <si>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</si>
  <si>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</si>
  <si>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</si>
  <si>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</si>
  <si>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</si>
  <si>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</si>
  <si>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</si>
  <si>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</si>
  <si>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</si>
  <si>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</si>
  <si>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</si>
  <si>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</si>
  <si>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</si>
  <si>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</si>
  <si>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</si>
  <si>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</si>
  <si>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</si>
  <si>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</si>
  <si>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</si>
  <si>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</si>
  <si>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</si>
  <si>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</si>
  <si>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</si>
  <si>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</si>
  <si>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</si>
  <si>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</si>
  <si>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</si>
  <si>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</si>
  <si>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</si>
  <si>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</si>
  <si>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</si>
  <si>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</si>
  <si>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</si>
  <si>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</si>
  <si>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</si>
  <si>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</si>
  <si>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</si>
  <si>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</si>
  <si>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</si>
  <si>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</si>
  <si>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</si>
  <si>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</si>
  <si>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</si>
  <si>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</si>
  <si>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</si>
  <si>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</si>
  <si>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</si>
  <si>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</si>
  <si>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</si>
  <si>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</si>
  <si>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</si>
  <si>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</si>
  <si>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</si>
  <si>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</si>
  <si>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</si>
  <si>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</si>
  <si>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</si>
  <si>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</si>
  <si>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</si>
  <si>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</si>
  <si>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</si>
  <si>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</si>
  <si>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</si>
  <si>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</si>
  <si>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</si>
  <si>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</si>
  <si>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</si>
  <si>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</si>
  <si>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</si>
  <si>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</si>
  <si>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</si>
  <si>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</si>
  <si>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</si>
  <si>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</si>
  <si>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</si>
  <si>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</si>
  <si>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</si>
  <si>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</si>
  <si>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</si>
  <si>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</si>
  <si>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</si>
  <si>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</si>
  <si>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</si>
  <si>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</si>
  <si>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</si>
  <si>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</si>
  <si>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</si>
  <si>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</si>
  <si>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</si>
  <si>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</si>
  <si>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</si>
  <si>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</si>
  <si>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</si>
  <si>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</si>
  <si>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</si>
  <si>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</si>
  <si>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</si>
  <si>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</si>
  <si>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</si>
  <si>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</si>
  <si>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</si>
  <si>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</si>
  <si>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</si>
  <si>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</si>
  <si>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</si>
  <si>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</si>
  <si>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</si>
  <si>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</si>
  <si>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</si>
  <si>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</si>
  <si>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</si>
  <si>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</si>
  <si>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</si>
  <si>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</si>
  <si>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</si>
  <si>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</si>
  <si>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</si>
  <si>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</si>
  <si>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</si>
  <si>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</si>
  <si>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</si>
  <si>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</si>
  <si>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</si>
  <si>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</si>
  <si>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</si>
  <si>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</si>
  <si>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</si>
  <si>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</si>
  <si>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</si>
  <si>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</si>
  <si>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</si>
  <si>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</si>
  <si>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</si>
  <si>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</si>
  <si>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</si>
  <si>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</si>
  <si>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</si>
  <si>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</si>
  <si>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</si>
  <si>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</si>
  <si>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</si>
  <si>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</si>
  <si>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</si>
  <si>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</si>
  <si>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</si>
  <si>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</si>
  <si>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</si>
  <si>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</si>
  <si>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</si>
  <si>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</si>
  <si>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</si>
  <si>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</si>
  <si>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</si>
  <si>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</si>
  <si>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</si>
  <si>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</si>
  <si>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</si>
  <si>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</si>
  <si>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</si>
  <si>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</si>
  <si>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</si>
  <si>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</si>
  <si>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</si>
  <si>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</si>
  <si>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</si>
  <si>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</si>
  <si>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</si>
  <si>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</si>
  <si>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</si>
  <si>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</si>
  <si>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</si>
  <si>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</si>
  <si>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</si>
  <si>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</si>
  <si>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</si>
  <si>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</si>
  <si>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</si>
  <si>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</si>
  <si>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</si>
  <si>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</si>
  <si>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</si>
  <si>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</si>
  <si>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</si>
  <si>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</si>
  <si>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</si>
  <si>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</si>
  <si>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</si>
  <si>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</si>
  <si>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</si>
  <si>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</si>
  <si>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</si>
  <si>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</si>
  <si>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</si>
  <si>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</si>
  <si>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</si>
  <si>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</si>
  <si>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</si>
  <si>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</si>
  <si>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</si>
  <si>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</si>
  <si>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</si>
  <si>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</si>
  <si>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</si>
  <si>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</si>
  <si>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</si>
  <si>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</si>
  <si>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</si>
  <si>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</si>
  <si>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</si>
  <si>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</si>
  <si>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</si>
  <si>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</si>
  <si>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</si>
  <si>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</si>
  <si>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</si>
  <si>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</si>
  <si>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</si>
  <si>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</si>
  <si>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</si>
  <si>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</si>
  <si>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</si>
  <si>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</si>
  <si>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</si>
  <si>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</si>
  <si>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</si>
  <si>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</si>
  <si>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</si>
  <si>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</si>
  <si>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</si>
  <si>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</si>
  <si>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</si>
  <si>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</si>
  <si>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</si>
  <si>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</si>
  <si>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</si>
  <si>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</si>
  <si>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</si>
  <si>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</si>
  <si>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</si>
  <si>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</si>
  <si>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</si>
  <si>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</si>
  <si>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</si>
  <si>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</si>
  <si>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</si>
  <si>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</si>
  <si>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</si>
  <si>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</si>
  <si>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</si>
  <si>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</si>
  <si>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</si>
  <si>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</si>
  <si>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</si>
  <si>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</si>
  <si>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</si>
  <si>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</si>
  <si>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</si>
  <si>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</si>
  <si>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</si>
  <si>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</si>
  <si>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</si>
  <si>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</si>
  <si>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</si>
  <si>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</si>
  <si>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</si>
  <si>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</si>
  <si>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</si>
  <si>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</si>
  <si>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</si>
  <si>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</si>
  <si>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</si>
  <si>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</si>
  <si>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</si>
  <si>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</si>
  <si>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</si>
  <si>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</si>
  <si>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</si>
  <si>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</si>
  <si>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</si>
  <si>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</si>
  <si>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</si>
  <si>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</si>
  <si>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</si>
  <si>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</si>
  <si>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</si>
  <si>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</si>
  <si>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</si>
  <si>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</si>
  <si>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</si>
  <si>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</si>
  <si>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</si>
  <si>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</si>
  <si>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</si>
  <si>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</si>
  <si>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</si>
  <si>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</si>
  <si>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</si>
  <si>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</si>
  <si>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</si>
  <si>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</si>
  <si>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</si>
  <si>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</si>
  <si>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</si>
  <si>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</si>
  <si>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</si>
  <si>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</si>
  <si>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</si>
  <si>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</si>
  <si>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</si>
  <si>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</si>
  <si>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</si>
  <si>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</si>
  <si>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</si>
  <si>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</si>
  <si>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</si>
  <si>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</si>
  <si>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</si>
  <si>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</si>
  <si>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</si>
  <si>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</si>
  <si>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</si>
  <si>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</si>
  <si>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</si>
  <si>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</si>
  <si>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</si>
  <si>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</si>
  <si>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</si>
  <si>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</si>
  <si>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</si>
  <si>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</si>
  <si>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</si>
  <si>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</si>
  <si>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</si>
  <si>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</si>
  <si>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</si>
  <si>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</si>
  <si>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</si>
  <si>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</si>
  <si>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</si>
  <si>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</si>
  <si>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</si>
  <si>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</si>
  <si>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</si>
  <si>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</si>
  <si>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</si>
  <si>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</si>
  <si>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</si>
  <si>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</si>
  <si>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</si>
  <si>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</si>
  <si>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</si>
  <si>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</si>
  <si>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</si>
  <si>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</si>
  <si>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</si>
  <si>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</si>
  <si>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</si>
  <si>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</si>
  <si>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</si>
  <si>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</si>
  <si>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</si>
  <si>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</si>
  <si>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</si>
  <si>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</si>
  <si>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</si>
  <si>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</si>
  <si>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</si>
  <si>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</si>
  <si>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</si>
  <si>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</si>
  <si>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</si>
  <si>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</si>
  <si>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</si>
  <si>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</si>
  <si>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</si>
  <si>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</si>
  <si>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</si>
  <si>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</si>
  <si>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</si>
  <si>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</si>
  <si>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</si>
  <si>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</si>
  <si>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</si>
  <si>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</si>
  <si>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</si>
  <si>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</si>
  <si>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</si>
  <si>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</si>
  <si>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</si>
  <si>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</si>
  <si>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</si>
  <si>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</si>
  <si>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</si>
  <si>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</si>
  <si>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</si>
  <si>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</si>
  <si>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</si>
  <si>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</si>
  <si>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</si>
  <si>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</si>
  <si>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</si>
  <si>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</si>
  <si>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</si>
  <si>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</si>
  <si>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</si>
  <si>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</si>
  <si>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</si>
  <si>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</si>
  <si>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</si>
  <si>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</si>
  <si>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</si>
  <si>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</si>
  <si>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</si>
  <si>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</si>
  <si>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</si>
  <si>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</si>
  <si>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</si>
  <si>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</si>
  <si>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</si>
  <si>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</si>
  <si>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</si>
  <si>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</si>
  <si>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</si>
  <si>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</si>
  <si>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</si>
  <si>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</si>
  <si>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</si>
  <si>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</si>
  <si>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</si>
  <si>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</si>
  <si>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</si>
  <si>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</si>
  <si>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</si>
  <si>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</si>
  <si>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</si>
  <si>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</si>
  <si>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</si>
  <si>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</si>
  <si>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</si>
  <si>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</si>
  <si>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</si>
  <si>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</si>
  <si>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</si>
  <si>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</si>
  <si>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</si>
  <si>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</si>
  <si>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</si>
  <si>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</si>
  <si>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</si>
  <si>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</si>
  <si>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</si>
  <si>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</si>
  <si>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</si>
  <si>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</si>
  <si>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</si>
  <si>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</si>
  <si>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</si>
  <si>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</si>
  <si>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</si>
  <si>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</si>
  <si>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</si>
  <si>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</si>
  <si>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</si>
  <si>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</si>
  <si>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</si>
  <si>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</si>
  <si>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</si>
  <si>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</si>
  <si>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</si>
  <si>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</si>
  <si>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</si>
  <si>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</si>
  <si>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</si>
  <si>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</si>
  <si>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</si>
  <si>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</si>
  <si>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</si>
  <si>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</si>
  <si>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</si>
  <si>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</si>
  <si>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</si>
  <si>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</si>
  <si>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</si>
  <si>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</si>
  <si>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</si>
  <si>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</si>
  <si>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</si>
  <si>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</si>
  <si>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</si>
  <si>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</si>
  <si>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</si>
  <si>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</si>
  <si>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</si>
  <si>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</si>
  <si>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</si>
  <si>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</si>
  <si>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</si>
  <si>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</si>
  <si>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</si>
  <si>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</si>
  <si>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</si>
  <si>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</si>
  <si>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</si>
  <si>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</si>
  <si>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</si>
  <si>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</si>
  <si>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</si>
  <si>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</si>
  <si>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</si>
  <si>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</si>
  <si>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</si>
  <si>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</si>
  <si>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</si>
  <si>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</si>
  <si>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</si>
  <si>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</si>
  <si>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</si>
  <si>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</si>
  <si>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</si>
  <si>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</si>
  <si>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</si>
  <si>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</si>
  <si>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</si>
  <si>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</si>
  <si>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</si>
  <si>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</si>
  <si>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</si>
  <si>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</si>
  <si>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</si>
  <si>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</si>
  <si>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</si>
  <si>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</si>
  <si>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</si>
  <si>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</si>
  <si>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</si>
  <si>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</si>
  <si>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</si>
  <si>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</si>
  <si>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</si>
  <si>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</si>
  <si>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</si>
  <si>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</si>
  <si>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</si>
  <si>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</si>
  <si>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</si>
  <si>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</si>
  <si>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</si>
  <si>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</si>
  <si>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</si>
  <si>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</si>
  <si>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</si>
  <si>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</si>
  <si>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</si>
  <si>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</si>
  <si>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</si>
  <si>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</si>
  <si>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</si>
  <si>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</si>
  <si>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</si>
  <si>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</si>
  <si>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</si>
  <si>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</si>
  <si>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</si>
  <si>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</si>
  <si>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</si>
  <si>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</si>
  <si>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</si>
  <si>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</si>
  <si>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</si>
  <si>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</si>
  <si>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</si>
  <si>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</si>
  <si>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</si>
  <si>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</si>
  <si>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</si>
  <si>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</si>
  <si>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</si>
  <si>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</si>
  <si>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</si>
  <si>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</si>
  <si>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</si>
  <si>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</si>
  <si>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</si>
  <si>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</si>
  <si>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</si>
  <si>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</si>
  <si>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</si>
  <si>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</si>
  <si>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</si>
  <si>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</si>
  <si>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</si>
  <si>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</si>
  <si>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</si>
  <si>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</si>
  <si>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</si>
  <si>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</si>
  <si>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</si>
  <si>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</si>
  <si>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</si>
  <si>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</si>
  <si>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</si>
  <si>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</si>
  <si>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</si>
  <si>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</si>
  <si>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</si>
  <si>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</si>
  <si>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</si>
  <si>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</si>
  <si>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</si>
  <si>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</si>
  <si>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</si>
  <si>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</si>
  <si>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</si>
  <si>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</si>
  <si>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</si>
  <si>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</si>
  <si>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</si>
  <si>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</si>
  <si>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</si>
  <si>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</si>
  <si>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</si>
  <si>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</si>
  <si>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</si>
  <si>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</si>
  <si>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</si>
  <si>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</si>
  <si>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</si>
  <si>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</si>
  <si>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</si>
  <si>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</si>
  <si>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</si>
  <si>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</si>
  <si>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</si>
  <si>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</si>
  <si>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</si>
  <si>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</si>
  <si>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</si>
  <si>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</si>
  <si>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</si>
  <si>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</si>
  <si>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</si>
  <si>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</si>
  <si>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</si>
  <si>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</si>
  <si>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</si>
  <si>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</si>
  <si>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</si>
  <si>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</si>
  <si>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</si>
  <si>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</si>
  <si>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</si>
  <si>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</si>
  <si>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</si>
  <si>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</si>
  <si>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</si>
  <si>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</si>
  <si>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</si>
  <si>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</si>
  <si>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</si>
  <si>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</si>
  <si>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</si>
  <si>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</si>
  <si>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</si>
  <si>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</si>
  <si>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</si>
  <si>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</si>
  <si>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</si>
  <si>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</si>
  <si>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</si>
  <si>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</si>
  <si>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</si>
  <si>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</si>
  <si>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</si>
  <si>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</si>
  <si>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</si>
  <si>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</si>
  <si>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</si>
  <si>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</si>
  <si>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</si>
  <si>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</si>
  <si>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</si>
  <si>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</si>
  <si>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</si>
  <si>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</si>
  <si>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</si>
  <si>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</si>
  <si>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</si>
  <si>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</si>
  <si>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</si>
  <si>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</si>
  <si>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</si>
  <si>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</si>
  <si>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</si>
  <si>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</si>
  <si>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</si>
  <si>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</si>
  <si>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</si>
  <si>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</si>
  <si>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</si>
  <si>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</si>
  <si>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</si>
  <si>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</si>
  <si>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</si>
  <si>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</si>
  <si>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</si>
  <si>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</si>
  <si>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</si>
  <si>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</si>
  <si>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</si>
  <si>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</si>
  <si>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</si>
  <si>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</si>
  <si>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</si>
  <si>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</si>
  <si>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</si>
  <si>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</si>
  <si>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</si>
  <si>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</si>
  <si>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</si>
  <si>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</si>
  <si>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</si>
  <si>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</si>
  <si>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</si>
  <si>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</si>
  <si>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</si>
  <si>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</si>
  <si>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</si>
  <si>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</si>
  <si>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</si>
  <si>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</si>
  <si>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</si>
  <si>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</si>
  <si>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</si>
  <si>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</si>
  <si>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</si>
  <si>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</si>
  <si>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</si>
  <si>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</si>
  <si>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</si>
  <si>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</si>
  <si>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</si>
  <si>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</si>
  <si>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</si>
  <si>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</si>
  <si>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</si>
  <si>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</si>
  <si>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</si>
  <si>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</si>
  <si>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</si>
  <si>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</si>
  <si>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</si>
  <si>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</si>
  <si>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</si>
  <si>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</si>
  <si>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</si>
  <si>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</si>
  <si>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</si>
  <si>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</si>
  <si>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</si>
  <si>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</si>
  <si>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</si>
  <si>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</si>
  <si>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</si>
  <si>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</si>
  <si>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</si>
  <si>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</si>
  <si>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</si>
  <si>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</si>
  <si>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</si>
  <si>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</si>
  <si>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</si>
  <si>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</si>
  <si>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</si>
  <si>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</si>
  <si>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</si>
  <si>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</si>
  <si>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</si>
  <si>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</si>
  <si>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</si>
  <si>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</si>
  <si>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</si>
  <si>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</si>
  <si>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</si>
  <si>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</si>
  <si>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</si>
  <si>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</si>
  <si>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</si>
  <si>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</si>
  <si>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</si>
  <si>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</si>
  <si>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</si>
  <si>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</si>
  <si>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</si>
  <si>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</si>
  <si>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</si>
  <si>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</si>
  <si>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</si>
  <si>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</si>
  <si>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</si>
  <si>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</si>
  <si>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</si>
  <si>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</si>
  <si>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</si>
  <si>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</si>
  <si>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</si>
  <si>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</si>
  <si>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</si>
  <si>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</si>
  <si>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</si>
  <si>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</si>
  <si>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</si>
  <si>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</si>
  <si>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</si>
  <si>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</si>
  <si>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</si>
  <si>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</si>
  <si>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</si>
  <si>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</si>
  <si>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</si>
  <si>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</si>
  <si>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</si>
  <si>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</si>
  <si>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</si>
  <si>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</si>
  <si>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</si>
  <si>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</si>
  <si>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</si>
  <si>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</si>
  <si>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</si>
  <si>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</si>
  <si>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</si>
  <si>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</si>
  <si>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</si>
  <si>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</si>
  <si>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</si>
  <si>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</si>
  <si>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</si>
  <si>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</si>
  <si>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</si>
  <si>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</si>
  <si>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</si>
  <si>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</si>
  <si>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</si>
  <si>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</si>
  <si>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</si>
  <si>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</si>
  <si>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</si>
  <si>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</si>
  <si>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</si>
  <si>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</si>
  <si>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</si>
  <si>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</si>
  <si>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</si>
  <si>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</si>
  <si>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</si>
  <si>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</si>
  <si>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</si>
  <si>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</si>
  <si>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</si>
  <si>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</si>
  <si>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</si>
  <si>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</si>
  <si>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</si>
  <si>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</si>
  <si>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</si>
  <si>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</si>
  <si>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</si>
  <si>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</si>
  <si>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</si>
  <si>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</si>
  <si>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</si>
  <si>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</si>
  <si>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</si>
  <si>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</si>
  <si>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</si>
  <si>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</si>
  <si>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</si>
  <si>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</si>
  <si>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</si>
  <si>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</si>
  <si>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</si>
  <si>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</si>
  <si>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</si>
  <si>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</si>
  <si>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</si>
  <si>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</si>
  <si>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</si>
  <si>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</si>
  <si>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</si>
  <si>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</si>
  <si>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</si>
  <si>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</si>
  <si>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</si>
  <si>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</si>
  <si>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</si>
  <si>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</si>
  <si>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</si>
  <si>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</si>
  <si>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</si>
  <si>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</si>
  <si>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</si>
  <si>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</si>
  <si>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</si>
  <si>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</si>
  <si>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</si>
  <si>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</si>
  <si>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</si>
  <si>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</si>
  <si>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</si>
  <si>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</si>
  <si>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</si>
  <si>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</si>
  <si>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</si>
  <si>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</si>
  <si>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</si>
  <si>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</si>
  <si>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</si>
  <si>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</si>
  <si>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</si>
  <si>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</si>
  <si>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</si>
  <si>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</si>
  <si>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</si>
  <si>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</si>
  <si>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</si>
  <si>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</si>
  <si>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</si>
  <si>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</si>
  <si>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</si>
  <si>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</si>
  <si>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</si>
  <si>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</si>
  <si>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</si>
  <si>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</si>
  <si>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</si>
  <si>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</si>
  <si>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</si>
  <si>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</si>
  <si>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</si>
  <si>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</si>
  <si>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</si>
  <si>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</si>
  <si>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</si>
  <si>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</si>
  <si>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</si>
  <si>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</si>
  <si>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</si>
  <si>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</si>
  <si>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</si>
  <si>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</si>
  <si>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</si>
  <si>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</si>
  <si>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</si>
  <si>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</si>
  <si>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</si>
  <si>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</si>
  <si>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</si>
  <si>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</si>
  <si>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</si>
  <si>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</si>
  <si>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</si>
  <si>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</si>
  <si>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</si>
  <si>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</si>
  <si>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</si>
  <si>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</si>
  <si>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</si>
  <si>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</si>
  <si>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</si>
  <si>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</si>
  <si>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</si>
  <si>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</si>
  <si>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</si>
  <si>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</si>
  <si>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</si>
  <si>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</si>
  <si>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</si>
  <si>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</si>
  <si>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</si>
  <si>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</si>
  <si>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</si>
  <si>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</si>
  <si>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</si>
  <si>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</si>
  <si>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</si>
  <si>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</si>
  <si>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</si>
  <si>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</si>
  <si>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</si>
  <si>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</si>
  <si>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</si>
  <si>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</si>
  <si>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</si>
  <si>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</si>
  <si>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</si>
  <si>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</si>
  <si>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</si>
  <si>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</si>
  <si>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</si>
  <si>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</si>
  <si>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</si>
  <si>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</si>
  <si>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</si>
  <si>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</si>
  <si>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</si>
  <si>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</si>
  <si>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</si>
  <si>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</si>
  <si>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</si>
  <si>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</si>
  <si>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</si>
  <si>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</si>
  <si>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</si>
  <si>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</si>
  <si>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</si>
  <si>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</si>
  <si>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</si>
  <si>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</si>
  <si>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</si>
  <si>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</si>
  <si>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</si>
  <si>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</si>
  <si>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</si>
  <si>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</si>
  <si>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</si>
  <si>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</si>
  <si>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</si>
  <si>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</si>
  <si>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</si>
  <si>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</si>
  <si>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</si>
  <si>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</si>
  <si>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</si>
  <si>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</si>
  <si>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</si>
  <si>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</si>
  <si>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</si>
  <si>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</si>
  <si>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</si>
  <si>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</si>
  <si>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</si>
  <si>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</si>
  <si>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</si>
  <si>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</si>
  <si>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</si>
  <si>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</si>
  <si>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</si>
  <si>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</si>
  <si>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</si>
  <si>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</si>
  <si>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</si>
  <si>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</si>
  <si>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</si>
  <si>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</si>
  <si>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</si>
  <si>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</si>
  <si>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</si>
  <si>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</si>
  <si>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</si>
  <si>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</si>
  <si>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</si>
  <si>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</si>
  <si>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</si>
  <si>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</si>
  <si>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</si>
  <si>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</si>
  <si>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</si>
  <si>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</si>
  <si>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</si>
  <si>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</si>
  <si>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</si>
  <si>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</si>
  <si>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</si>
  <si>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</si>
  <si>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</si>
  <si>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</si>
  <si>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</si>
  <si>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</si>
  <si>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</si>
  <si>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</si>
  <si>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</si>
  <si>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</si>
  <si>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</si>
  <si>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</si>
  <si>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</si>
  <si>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</si>
  <si>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</si>
  <si>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</si>
  <si>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</si>
  <si>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</si>
  <si>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</si>
  <si>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</si>
  <si>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</si>
  <si>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</si>
  <si>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</si>
  <si>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</si>
  <si>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</si>
  <si>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</si>
  <si>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</si>
  <si>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</si>
  <si>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</si>
  <si>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</si>
  <si>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</si>
  <si>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</si>
  <si>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</si>
  <si>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</si>
  <si>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</si>
  <si>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</si>
  <si>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</si>
  <si>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</si>
  <si>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</si>
  <si>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</si>
  <si>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</si>
  <si>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</si>
  <si>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</si>
  <si>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</si>
  <si>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</si>
  <si>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</si>
  <si>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</si>
  <si>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</si>
  <si>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</si>
  <si>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</si>
  <si>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</si>
  <si>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</si>
  <si>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</si>
  <si>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</si>
  <si>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</si>
  <si>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</si>
  <si>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</si>
  <si>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</si>
  <si>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</si>
  <si>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</si>
  <si>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</si>
  <si>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</si>
  <si>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</si>
  <si>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</si>
  <si>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</si>
  <si>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</si>
  <si>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</si>
  <si>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</si>
  <si>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</si>
  <si>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</si>
  <si>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</si>
  <si>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</si>
  <si>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</si>
  <si>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</si>
  <si>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</si>
  <si>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</si>
  <si>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</si>
  <si>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</si>
  <si>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</si>
  <si>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</si>
  <si>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</si>
  <si>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</si>
  <si>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</si>
  <si>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</si>
  <si>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</si>
  <si>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</si>
  <si>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</si>
  <si>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</si>
  <si>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</si>
  <si>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</si>
  <si>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</si>
  <si>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</si>
  <si>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</si>
  <si>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</si>
  <si>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</si>
  <si>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</si>
  <si>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</si>
  <si>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</si>
  <si>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</si>
  <si>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</si>
  <si>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</si>
  <si>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</si>
  <si>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</si>
  <si>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</si>
  <si>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</si>
  <si>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</si>
  <si>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</si>
  <si>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</si>
  <si>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</si>
  <si>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</si>
  <si>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</si>
  <si>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</si>
  <si>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</si>
  <si>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</si>
  <si>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</si>
  <si>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</si>
  <si>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</si>
  <si>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</si>
  <si>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</si>
  <si>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</si>
  <si>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</si>
  <si>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</si>
  <si>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</si>
  <si>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</si>
  <si>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</si>
  <si>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</si>
  <si>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</si>
  <si>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</si>
  <si>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</si>
  <si>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</si>
  <si>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</si>
  <si>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</si>
  <si>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</si>
  <si>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</si>
  <si>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</si>
  <si>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</si>
  <si>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</si>
  <si>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</si>
  <si>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</si>
  <si>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</si>
  <si>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</si>
  <si>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</si>
  <si>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</si>
  <si>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</si>
  <si>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</si>
  <si>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</si>
  <si>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</si>
  <si>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</si>
  <si>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</si>
  <si>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</si>
  <si>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</si>
  <si>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</si>
  <si>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</si>
  <si>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</si>
  <si>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</si>
  <si>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</si>
  <si>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</si>
  <si>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</si>
  <si>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</si>
  <si>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</si>
  <si>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</si>
  <si>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</si>
  <si>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</si>
  <si>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</si>
  <si>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</si>
  <si>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</si>
  <si>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</si>
  <si>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</si>
  <si>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</si>
  <si>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</si>
  <si>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</si>
  <si>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</si>
  <si>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</si>
  <si>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</si>
  <si>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</si>
  <si>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</si>
  <si>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</si>
  <si>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</si>
  <si>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</si>
  <si>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</si>
  <si>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</si>
  <si>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</si>
  <si>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</si>
  <si>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</si>
  <si>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</si>
  <si>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</si>
  <si>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</si>
  <si>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</si>
  <si>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</si>
  <si>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</si>
  <si>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</si>
  <si>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</si>
  <si>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</si>
  <si>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</si>
  <si>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</si>
  <si>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</si>
  <si>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</si>
  <si>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</si>
  <si>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</si>
  <si>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</si>
  <si>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</si>
  <si>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</si>
  <si>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</si>
  <si>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</si>
  <si>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</si>
  <si>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</si>
  <si>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</si>
  <si>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</si>
  <si>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</si>
  <si>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</si>
  <si>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</si>
  <si>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</si>
  <si>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</si>
  <si>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</si>
  <si>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</si>
  <si>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</si>
  <si>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</si>
  <si>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</si>
  <si>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</si>
  <si>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</si>
  <si>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</si>
  <si>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</si>
  <si>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</si>
  <si>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</si>
  <si>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</si>
  <si>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</si>
  <si>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</si>
  <si>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</si>
  <si>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</si>
  <si>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</si>
  <si>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</si>
  <si>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</si>
  <si>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</si>
  <si>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</si>
  <si>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</si>
  <si>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</si>
  <si>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</si>
  <si>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</si>
  <si>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</si>
  <si>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</si>
  <si>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</si>
  <si>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</si>
  <si>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</si>
  <si>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</si>
  <si>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</si>
  <si>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</si>
  <si>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</si>
  <si>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</si>
  <si>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</si>
  <si>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</si>
  <si>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</si>
  <si>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</si>
  <si>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</si>
  <si>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</si>
  <si>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</si>
  <si>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</si>
  <si>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</si>
  <si>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</si>
  <si>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</si>
  <si>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</si>
  <si>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</si>
  <si>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</si>
  <si>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</si>
  <si>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</si>
  <si>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</si>
  <si>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</si>
  <si>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</si>
  <si>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</si>
  <si>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</si>
  <si>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</si>
  <si>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</si>
  <si>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</si>
  <si>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</si>
  <si>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</si>
  <si>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</si>
  <si>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</si>
  <si>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</si>
  <si>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</si>
  <si>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</si>
  <si>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</si>
  <si>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</si>
  <si>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</si>
  <si>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</si>
  <si>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</si>
  <si>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</si>
  <si>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</si>
  <si>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</si>
  <si>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</si>
  <si>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</si>
  <si>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</si>
  <si>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</si>
  <si>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</si>
  <si>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</si>
  <si>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</si>
  <si>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</si>
  <si>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</si>
  <si>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</si>
  <si>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</si>
  <si>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</si>
  <si>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</si>
  <si>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</si>
  <si>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</si>
  <si>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</si>
  <si>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</si>
  <si>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</si>
  <si>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</si>
  <si>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</si>
  <si>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</si>
  <si>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</si>
  <si>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</si>
  <si>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</si>
  <si>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</si>
  <si>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</si>
  <si>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</si>
  <si>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</si>
  <si>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</si>
  <si>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</si>
  <si>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</si>
  <si>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</si>
  <si>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</si>
  <si>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</si>
  <si>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</si>
  <si>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</si>
  <si>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</si>
  <si>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</si>
  <si>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</si>
  <si>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</si>
  <si>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</si>
  <si>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</si>
  <si>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</si>
  <si>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</si>
  <si>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</si>
  <si>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</si>
  <si>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</si>
  <si>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</si>
  <si>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</si>
  <si>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</si>
  <si>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</si>
  <si>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</si>
  <si>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</si>
  <si>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</si>
  <si>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</si>
  <si>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</si>
  <si>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</si>
  <si>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</si>
  <si>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</si>
  <si>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</si>
  <si>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</si>
  <si>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</si>
  <si>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</si>
  <si>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</si>
  <si>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</si>
  <si>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</si>
  <si>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</si>
  <si>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</si>
  <si>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</si>
  <si>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</si>
  <si>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</si>
  <si>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</si>
  <si>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</si>
  <si>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</si>
  <si>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</si>
  <si>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</si>
  <si>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</si>
  <si>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</si>
  <si>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</si>
  <si>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</si>
  <si>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</si>
  <si>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</si>
  <si>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</si>
  <si>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</si>
  <si>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</si>
  <si>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</si>
  <si>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</si>
  <si>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</si>
  <si>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</si>
  <si>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</si>
  <si>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</si>
  <si>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</si>
  <si>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</si>
  <si>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</si>
  <si>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</si>
  <si>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</si>
  <si>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</si>
  <si>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</si>
  <si>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</si>
  <si>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</si>
  <si>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</si>
  <si>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</si>
  <si>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</si>
  <si>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</si>
  <si>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</si>
  <si>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</si>
  <si>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</si>
  <si>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</si>
  <si>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</si>
  <si>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</si>
  <si>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</si>
  <si>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</si>
  <si>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</si>
  <si>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</si>
  <si>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</si>
  <si>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</si>
  <si>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</si>
  <si>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</si>
  <si>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</si>
  <si>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</si>
  <si>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</si>
  <si>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</si>
  <si>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</si>
  <si>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</si>
  <si>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</si>
  <si>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</si>
  <si>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</si>
  <si>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</si>
  <si>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</si>
  <si>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</si>
  <si>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</si>
  <si>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</si>
  <si>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</si>
  <si>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</si>
  <si>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</si>
  <si>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</si>
  <si>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</si>
  <si>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</si>
  <si>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</si>
  <si>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</si>
  <si>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</si>
  <si>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</si>
  <si>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</si>
  <si>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</si>
  <si>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</si>
  <si>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</si>
  <si>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</si>
  <si>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</si>
  <si>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</si>
  <si>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</si>
  <si>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</si>
  <si>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</si>
  <si>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</si>
  <si>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</si>
  <si>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</si>
  <si>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</si>
  <si>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</si>
  <si>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</si>
  <si>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</si>
  <si>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</si>
  <si>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</si>
  <si>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</si>
  <si>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</si>
  <si>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</si>
  <si>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</si>
  <si>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</si>
  <si>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</si>
  <si>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</si>
  <si>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</si>
  <si>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</si>
  <si>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</si>
  <si>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</si>
  <si>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</si>
  <si>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</si>
  <si>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</si>
  <si>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</si>
  <si>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</si>
  <si>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</si>
  <si>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</si>
  <si>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</si>
  <si>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</si>
  <si>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</si>
  <si>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</si>
  <si>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</si>
  <si>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</si>
  <si>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</si>
  <si>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</si>
  <si>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</si>
  <si>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</si>
  <si>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</si>
  <si>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</si>
  <si>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</si>
  <si>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</si>
  <si>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</si>
  <si>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</si>
  <si>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</si>
  <si>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</si>
  <si>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</si>
  <si>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</si>
  <si>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</si>
  <si>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</si>
  <si>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</si>
  <si>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</si>
  <si>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</si>
  <si>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</si>
  <si>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</si>
  <si>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</si>
  <si>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</si>
  <si>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</si>
  <si>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</si>
  <si>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</si>
  <si>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</si>
  <si>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</si>
  <si>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</si>
  <si>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</si>
  <si>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</si>
  <si>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</si>
  <si>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</si>
  <si>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</si>
  <si>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</si>
  <si>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</si>
  <si>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</si>
  <si>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</si>
  <si>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</si>
  <si>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</si>
  <si>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</si>
  <si>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</si>
  <si>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</si>
  <si>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</si>
  <si>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</si>
  <si>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</si>
  <si>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</si>
  <si>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</si>
  <si>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</si>
  <si>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</si>
  <si>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</si>
  <si>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</si>
  <si>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</si>
  <si>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</si>
  <si>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</si>
  <si>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</si>
  <si>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</si>
  <si>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</si>
  <si>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</si>
  <si>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</si>
  <si>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</si>
  <si>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</si>
  <si>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</si>
  <si>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</si>
  <si>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</si>
  <si>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</si>
  <si>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</si>
  <si>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</si>
  <si>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</si>
  <si>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</si>
  <si>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</si>
  <si>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</si>
  <si>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</si>
  <si>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</si>
  <si>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</si>
  <si>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</si>
  <si>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</si>
  <si>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</si>
  <si>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</si>
  <si>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</si>
  <si>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</si>
  <si>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</si>
  <si>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</si>
  <si>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</si>
  <si>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</si>
  <si>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</si>
  <si>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</si>
  <si>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</si>
  <si>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</si>
  <si>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</si>
  <si>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</si>
  <si>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</si>
  <si>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</si>
  <si>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</si>
  <si>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</si>
  <si>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</si>
  <si>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</si>
  <si>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</si>
  <si>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</si>
  <si>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</si>
  <si>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</si>
  <si>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</si>
  <si>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</si>
  <si>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</si>
  <si>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</si>
  <si>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</si>
  <si>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</si>
  <si>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</si>
  <si>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</si>
  <si>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</si>
  <si>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</si>
  <si>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</si>
  <si>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</si>
  <si>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</si>
  <si>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</si>
  <si>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</si>
  <si>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</si>
  <si>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</si>
  <si>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</si>
  <si>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</si>
  <si>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</si>
  <si>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</si>
  <si>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</si>
  <si>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</si>
  <si>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</si>
  <si>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</si>
  <si>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</si>
  <si>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</si>
  <si>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</si>
  <si>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</si>
  <si>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</si>
  <si>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</si>
  <si>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</si>
  <si>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</si>
  <si>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</si>
  <si>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</si>
  <si>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</si>
  <si>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</si>
  <si>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</si>
  <si>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</si>
  <si>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</si>
  <si>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</si>
  <si>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</si>
  <si>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</si>
  <si>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</si>
  <si>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</si>
  <si>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</si>
  <si>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</si>
  <si>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</si>
  <si>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</si>
  <si>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</si>
  <si>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</si>
  <si>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</si>
  <si>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</si>
  <si>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</si>
  <si>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</si>
  <si>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</si>
  <si>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</si>
  <si>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</si>
  <si>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</si>
  <si>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</si>
  <si>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</si>
  <si>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</si>
  <si>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</si>
  <si>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</si>
  <si>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</si>
  <si>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</si>
  <si>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</si>
  <si>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</si>
  <si>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</si>
  <si>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</si>
  <si>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</si>
  <si>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</si>
  <si>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</si>
  <si>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</si>
  <si>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</si>
  <si>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</si>
  <si>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</si>
  <si>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</si>
  <si>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</si>
  <si>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</si>
  <si>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</si>
  <si>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</si>
  <si>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</si>
  <si>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</si>
  <si>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</si>
  <si>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</si>
  <si>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</si>
  <si>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</si>
  <si>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</si>
  <si>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</si>
  <si>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</si>
  <si>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</si>
  <si>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</si>
  <si>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</si>
  <si>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</si>
  <si>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</si>
  <si>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</si>
  <si>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</si>
  <si>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</si>
  <si>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</si>
  <si>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</si>
  <si>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</si>
  <si>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</si>
  <si>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</si>
  <si>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</si>
  <si>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</si>
  <si>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</si>
  <si>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</si>
  <si>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</si>
  <si>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</si>
  <si>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</si>
  <si>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</si>
  <si>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</si>
  <si>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</si>
  <si>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</si>
  <si>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</si>
  <si>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</si>
  <si>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</si>
  <si>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</si>
  <si>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</si>
  <si>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</si>
  <si>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</si>
  <si>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</si>
  <si>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</si>
  <si>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</si>
  <si>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</si>
  <si>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</si>
  <si>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</si>
  <si>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</si>
  <si>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</si>
  <si>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</si>
  <si>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</si>
  <si>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</si>
  <si>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</si>
  <si>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</si>
  <si>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</si>
  <si>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</si>
  <si>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</si>
  <si>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</si>
  <si>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</si>
  <si>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</si>
  <si>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</si>
  <si>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</si>
  <si>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</si>
  <si>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</si>
  <si>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</si>
  <si>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</si>
  <si>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</si>
  <si>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</si>
  <si>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</si>
  <si>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</si>
  <si>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</si>
  <si>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</si>
  <si>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</si>
  <si>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</si>
  <si>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</si>
  <si>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</si>
  <si>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</si>
  <si>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</si>
  <si>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</si>
  <si>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</si>
  <si>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</si>
  <si>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</si>
  <si>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</si>
  <si>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</si>
  <si>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</si>
  <si>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</si>
  <si>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</si>
  <si>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</si>
  <si>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</si>
  <si>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</si>
  <si>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</si>
  <si>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</si>
  <si>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</si>
  <si>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</si>
  <si>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</si>
  <si>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</si>
  <si>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</si>
  <si>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</si>
  <si>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</si>
  <si>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</si>
  <si>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</si>
  <si>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</si>
  <si>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</si>
  <si>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</si>
  <si>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</si>
  <si>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</si>
  <si>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</si>
  <si>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</si>
  <si>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</si>
  <si>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</si>
  <si>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</si>
  <si>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</si>
  <si>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</si>
  <si>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</si>
  <si>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</si>
  <si>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</si>
  <si>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</si>
  <si>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</si>
  <si>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</si>
  <si>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</si>
  <si>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</si>
  <si>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</si>
  <si>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</si>
  <si>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</si>
  <si>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</si>
  <si>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</si>
  <si>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</si>
  <si>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</si>
  <si>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</si>
  <si>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</si>
  <si>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</si>
  <si>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</si>
  <si>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</si>
  <si>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</si>
  <si>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</si>
  <si>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</si>
  <si>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</si>
  <si>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</si>
  <si>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</si>
  <si>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</si>
  <si>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</si>
  <si>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</si>
  <si>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</si>
  <si>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</si>
  <si>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</si>
  <si>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</si>
  <si>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</si>
  <si>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</si>
  <si>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</si>
  <si>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</si>
  <si>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</si>
  <si>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</si>
  <si>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</si>
  <si>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</si>
  <si>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</si>
  <si>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</si>
  <si>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</si>
  <si>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</si>
  <si>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</si>
  <si>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</si>
  <si>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</si>
  <si>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</si>
  <si>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</si>
  <si>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</si>
  <si>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</si>
  <si>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</si>
  <si>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</si>
  <si>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</si>
  <si>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</si>
  <si>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</si>
  <si>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</si>
  <si>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</si>
  <si>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</si>
  <si>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</si>
  <si>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</si>
  <si>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</si>
  <si>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</si>
  <si>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</si>
  <si>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</si>
  <si>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</si>
  <si>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</si>
  <si>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</si>
  <si>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</si>
  <si>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</si>
  <si>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</si>
  <si>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</si>
  <si>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</si>
  <si>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</si>
  <si>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</si>
  <si>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</si>
  <si>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</si>
  <si>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</si>
  <si>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</si>
  <si>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</si>
  <si>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</si>
  <si>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</si>
  <si>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</si>
  <si>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</si>
  <si>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</si>
  <si>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</si>
  <si>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</si>
  <si>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</si>
  <si>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</si>
  <si>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</si>
  <si>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</si>
  <si>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</si>
  <si>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</si>
  <si>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</si>
  <si>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</si>
  <si>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</si>
  <si>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</si>
  <si>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</si>
  <si>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</si>
  <si>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</si>
  <si>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</si>
  <si>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</si>
  <si>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</si>
  <si>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</si>
  <si>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</si>
  <si>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</si>
  <si>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</si>
  <si>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</si>
  <si>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</si>
  <si>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</si>
  <si>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</si>
  <si>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</si>
  <si>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</si>
  <si>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</si>
  <si>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</si>
  <si>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</si>
  <si>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</si>
  <si>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</si>
  <si>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</si>
  <si>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</si>
  <si>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</si>
  <si>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</si>
  <si>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</si>
  <si>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</si>
  <si>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</si>
  <si>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</si>
  <si>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</si>
  <si>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</si>
  <si>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</si>
  <si>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</si>
  <si>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</si>
  <si>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</si>
  <si>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</si>
  <si>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</si>
  <si>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</si>
  <si>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</si>
  <si>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</si>
  <si>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</si>
  <si>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</si>
  <si>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</si>
  <si>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</si>
  <si>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</si>
  <si>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</si>
  <si>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</si>
  <si>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</si>
  <si>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</si>
  <si>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</si>
  <si>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</si>
  <si>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</si>
  <si>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</si>
  <si>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</si>
  <si>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</si>
  <si>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</si>
  <si>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</si>
  <si>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</si>
  <si>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</si>
  <si>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</si>
  <si>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</si>
  <si>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</si>
  <si>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</si>
  <si>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</si>
  <si>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</si>
  <si>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</si>
  <si>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</si>
  <si>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</si>
  <si>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</si>
  <si>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</si>
  <si>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</si>
  <si>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</si>
  <si>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</si>
  <si>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</si>
  <si>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</si>
  <si>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</si>
  <si>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</si>
  <si>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</si>
  <si>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</si>
  <si>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</si>
  <si>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</si>
  <si>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</si>
  <si>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</si>
  <si>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</si>
  <si>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</si>
  <si>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</si>
  <si>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</si>
  <si>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</si>
  <si>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</si>
  <si>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</si>
  <si>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</si>
  <si>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</si>
  <si>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</si>
  <si>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</si>
  <si>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</si>
  <si>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</si>
  <si>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</si>
  <si>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</si>
  <si>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</si>
  <si>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</si>
  <si>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</si>
  <si>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</si>
  <si>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</si>
  <si>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</si>
  <si>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</si>
  <si>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</si>
  <si>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</si>
  <si>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</si>
  <si>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</si>
  <si>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</si>
  <si>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</si>
  <si>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</si>
  <si>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</si>
  <si>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</si>
  <si>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</si>
  <si>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</si>
  <si>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</si>
  <si>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</si>
  <si>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</si>
  <si>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</si>
  <si>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</si>
  <si>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</si>
  <si>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</si>
  <si>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</si>
  <si>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</si>
  <si>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</si>
  <si>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</si>
  <si>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</si>
  <si>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</si>
  <si>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</si>
  <si>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</si>
  <si>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</si>
  <si>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</si>
  <si>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</si>
  <si>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</si>
  <si>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</si>
  <si>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</si>
  <si>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</si>
  <si>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</si>
  <si>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</si>
  <si>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</si>
  <si>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</si>
  <si>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</si>
  <si>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</si>
  <si>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</si>
  <si>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</si>
  <si>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</si>
  <si>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</si>
  <si>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</si>
  <si>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</si>
  <si>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</si>
  <si>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</si>
  <si>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</si>
  <si>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</si>
  <si>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</si>
  <si>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</si>
  <si>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</si>
  <si>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</si>
  <si>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</si>
  <si>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</si>
  <si>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</si>
  <si>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</si>
  <si>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</si>
  <si>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</si>
  <si>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</si>
  <si>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</si>
  <si>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</si>
  <si>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</si>
  <si>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</si>
  <si>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</si>
  <si>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</si>
  <si>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</si>
  <si>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</si>
  <si>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</si>
  <si>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</si>
  <si>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</si>
  <si>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</si>
  <si>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</si>
  <si>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</si>
  <si>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</si>
  <si>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</si>
  <si>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</si>
  <si>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</si>
  <si>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</si>
  <si>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</si>
  <si>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</si>
  <si>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</si>
  <si>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</si>
  <si>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</si>
  <si>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</si>
  <si>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</si>
  <si>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</si>
  <si>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</si>
  <si>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</si>
  <si>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</si>
  <si>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</si>
  <si>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</si>
  <si>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</si>
  <si>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</si>
  <si>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</si>
  <si>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</si>
  <si>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</si>
  <si>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</si>
  <si>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</si>
  <si>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</si>
  <si>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</si>
  <si>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</si>
  <si>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</si>
  <si>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</si>
  <si>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</si>
  <si>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</si>
  <si>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</si>
  <si>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</si>
  <si>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</si>
  <si>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</si>
  <si>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</si>
  <si>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</si>
  <si>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</si>
  <si>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</si>
  <si>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</si>
  <si>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</si>
  <si>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</si>
  <si>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</si>
  <si>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</si>
  <si>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</si>
  <si>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</si>
  <si>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</si>
  <si>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</si>
  <si>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</si>
  <si>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</si>
  <si>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</si>
  <si>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</si>
  <si>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</si>
  <si>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</si>
  <si>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</si>
  <si>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</si>
  <si>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</si>
  <si>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</si>
  <si>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</si>
  <si>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</si>
  <si>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</si>
  <si>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</si>
  <si>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</si>
  <si>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</si>
  <si>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</si>
  <si>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</si>
  <si>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</si>
  <si>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</si>
  <si>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</si>
  <si>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</si>
  <si>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</si>
  <si>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</si>
  <si>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</si>
  <si>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</si>
  <si>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</si>
  <si>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</si>
  <si>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</si>
  <si>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</si>
  <si>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</si>
  <si>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</si>
  <si>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</si>
  <si>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</si>
  <si>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</si>
  <si>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</si>
  <si>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</si>
  <si>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</si>
  <si>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</si>
  <si>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</si>
  <si>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</si>
  <si>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</si>
  <si>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</si>
  <si>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</si>
  <si>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</si>
  <si>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</si>
  <si>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</si>
  <si>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</si>
  <si>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</si>
  <si>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</si>
  <si>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</si>
  <si>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</si>
  <si>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</si>
  <si>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</si>
  <si>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</si>
  <si>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</si>
  <si>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</si>
  <si>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</si>
  <si>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</si>
  <si>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</si>
  <si>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</si>
  <si>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</si>
  <si>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</si>
  <si>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</si>
  <si>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</si>
  <si>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</si>
  <si>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</si>
  <si>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</si>
  <si>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</si>
  <si>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</si>
  <si>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</si>
  <si>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</si>
  <si>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</si>
  <si>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</si>
  <si>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</si>
  <si>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</si>
  <si>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</si>
  <si>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</si>
  <si>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</si>
  <si>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</si>
  <si>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</si>
  <si>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</si>
  <si>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</si>
  <si>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</si>
  <si>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</si>
  <si>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</si>
  <si>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</si>
  <si>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</si>
  <si>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</si>
  <si>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</si>
  <si>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</si>
  <si>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</si>
  <si>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</si>
  <si>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</si>
  <si>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</si>
  <si>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</si>
  <si>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</si>
  <si>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</si>
  <si>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</si>
  <si>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</si>
  <si>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</si>
  <si>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</si>
  <si>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</si>
  <si>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</si>
  <si>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</si>
  <si>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</si>
  <si>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</si>
  <si>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</si>
  <si>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</si>
  <si>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</si>
  <si>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</si>
  <si>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</si>
  <si>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</si>
  <si>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</si>
  <si>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</si>
  <si>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</si>
  <si>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</si>
  <si>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</si>
  <si>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</si>
  <si>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</si>
  <si>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</si>
  <si>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</si>
  <si>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</si>
  <si>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</si>
  <si>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</si>
  <si>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</si>
  <si>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</si>
  <si>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</si>
  <si>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</si>
  <si>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</si>
  <si>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</si>
  <si>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</si>
  <si>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</si>
  <si>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</si>
  <si>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</si>
  <si>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</si>
  <si>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</si>
  <si>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</si>
  <si>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</si>
  <si>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</si>
  <si>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</si>
  <si>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</si>
  <si>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</si>
  <si>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</si>
  <si>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</si>
  <si>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</si>
  <si>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</si>
  <si>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</si>
  <si>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</si>
  <si>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</si>
  <si>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</si>
  <si>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</si>
  <si>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</si>
  <si>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</si>
  <si>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</si>
  <si>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</si>
  <si>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</si>
  <si>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</si>
  <si>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</si>
  <si>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</si>
  <si>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</si>
  <si>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</si>
  <si>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</si>
  <si>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</si>
  <si>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</si>
  <si>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</si>
  <si>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</si>
  <si>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</si>
  <si>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</si>
  <si>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</si>
  <si>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</si>
  <si>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</si>
  <si>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</si>
  <si>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</si>
  <si>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</si>
  <si>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</si>
  <si>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</si>
  <si>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</si>
  <si>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</si>
  <si>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</si>
  <si>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</si>
  <si>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</si>
  <si>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</si>
  <si>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</si>
  <si>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</si>
  <si>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</si>
  <si>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</si>
  <si>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</si>
  <si>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</si>
  <si>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</si>
  <si>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</si>
  <si>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</si>
  <si>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</si>
  <si>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</si>
  <si>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</si>
  <si>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</si>
  <si>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</si>
  <si>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</si>
  <si>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</si>
  <si>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</si>
  <si>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</si>
  <si>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</si>
  <si>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</si>
  <si>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</si>
  <si>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</si>
  <si>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</si>
  <si>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</si>
  <si>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</si>
  <si>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</si>
  <si>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</si>
  <si>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</si>
  <si>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</si>
  <si>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</si>
  <si>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</si>
  <si>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</si>
  <si>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</si>
  <si>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</si>
  <si>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</si>
  <si>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</si>
  <si>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</si>
  <si>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</si>
  <si>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</si>
  <si>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</si>
  <si>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</si>
  <si>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</si>
  <si>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</si>
  <si>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</si>
  <si>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</si>
  <si>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</si>
  <si>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</si>
  <si>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</si>
  <si>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</si>
  <si>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</si>
  <si>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</si>
  <si>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</si>
  <si>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</si>
  <si>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</si>
  <si>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</si>
  <si>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</si>
  <si>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</si>
  <si>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</si>
  <si>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</si>
  <si>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</si>
  <si>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</si>
  <si>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</si>
  <si>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</si>
  <si>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</si>
  <si>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</si>
  <si>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</si>
  <si>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</si>
  <si>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</si>
  <si>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</si>
  <si>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</si>
  <si>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</si>
  <si>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</si>
  <si>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</si>
  <si>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</si>
  <si>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</si>
  <si>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</si>
  <si>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</si>
  <si>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</si>
  <si>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</si>
  <si>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</si>
  <si>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</si>
  <si>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</si>
  <si>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</si>
  <si>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</si>
  <si>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</si>
  <si>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</si>
  <si>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</si>
  <si>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</si>
  <si>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</si>
  <si>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</si>
  <si>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</si>
  <si>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</si>
  <si>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</si>
  <si>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</si>
  <si>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</si>
  <si>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</si>
  <si>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</si>
  <si>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</si>
  <si>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</si>
  <si>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</si>
  <si>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</si>
  <si>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</si>
  <si>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</si>
  <si>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</si>
  <si>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</si>
  <si>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</si>
  <si>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</si>
  <si>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</si>
  <si>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</si>
  <si>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</si>
  <si>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</si>
  <si>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</si>
  <si>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</si>
  <si>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</si>
  <si>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</si>
  <si>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</si>
  <si>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</si>
  <si>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</si>
  <si>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</si>
  <si>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</si>
  <si>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</si>
  <si>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</si>
  <si>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</si>
  <si>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</si>
  <si>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</si>
  <si>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</si>
  <si>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</si>
  <si>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</si>
  <si>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</si>
  <si>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</si>
  <si>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</si>
  <si>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</si>
  <si>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</si>
  <si>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</si>
  <si>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</si>
  <si>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</si>
  <si>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</si>
  <si>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</si>
  <si>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</si>
  <si>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</si>
  <si>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</si>
  <si>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</si>
  <si>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</si>
  <si>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</si>
  <si>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</si>
  <si>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</si>
  <si>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</si>
  <si>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</si>
  <si>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</si>
  <si>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</si>
  <si>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</si>
  <si>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</si>
  <si>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</si>
  <si>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</si>
  <si>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</si>
  <si>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</si>
  <si>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</si>
  <si>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</si>
  <si>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</si>
  <si>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</si>
  <si>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</si>
  <si>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</si>
  <si>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</si>
  <si>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</si>
  <si>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</si>
  <si>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</si>
  <si>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</si>
  <si>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</si>
  <si>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</si>
  <si>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</si>
  <si>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</si>
  <si>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</si>
  <si>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</si>
  <si>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</si>
  <si>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</si>
  <si>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</si>
  <si>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</si>
  <si>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</si>
  <si>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</si>
  <si>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</si>
  <si>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</si>
  <si>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</si>
  <si>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</si>
  <si>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</si>
  <si>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</si>
  <si>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</si>
  <si>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</si>
  <si>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</si>
  <si>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</si>
  <si>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</si>
  <si>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</si>
  <si>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</si>
  <si>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</si>
  <si>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</si>
  <si>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</si>
  <si>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</si>
  <si>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</si>
  <si>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</si>
  <si>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</si>
  <si>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</si>
  <si>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</si>
  <si>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</si>
  <si>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</si>
  <si>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</si>
  <si>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</si>
  <si>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</si>
  <si>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</si>
  <si>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</si>
  <si>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</si>
  <si>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</si>
  <si>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</si>
  <si>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</si>
  <si>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</si>
  <si>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</si>
  <si>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</si>
  <si>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</si>
  <si>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</si>
  <si>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</si>
  <si>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</si>
  <si>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</si>
  <si>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</si>
  <si>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</si>
  <si>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</si>
  <si>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</si>
  <si>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</si>
  <si>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</si>
  <si>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</si>
  <si>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</si>
  <si>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</si>
  <si>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</si>
  <si>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</si>
  <si>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</si>
  <si>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</si>
  <si>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</si>
  <si>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</si>
  <si>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</si>
  <si>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</si>
  <si>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</si>
  <si>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</si>
  <si>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</si>
  <si>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</si>
  <si>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</si>
  <si>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</si>
  <si>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</si>
  <si>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</si>
  <si>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</si>
  <si>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</si>
  <si>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</si>
  <si>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</si>
  <si>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</si>
  <si>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</si>
  <si>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</si>
  <si>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</si>
  <si>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</si>
  <si>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</si>
  <si>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</si>
  <si>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</si>
  <si>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</si>
  <si>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</si>
  <si>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</si>
  <si>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</si>
  <si>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</si>
  <si>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</si>
  <si>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</si>
  <si>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</si>
  <si>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</si>
  <si>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</si>
  <si>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</si>
  <si>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</si>
  <si>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</si>
  <si>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</si>
  <si>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</si>
  <si>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</si>
  <si>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</si>
  <si>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</si>
  <si>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</si>
  <si>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</si>
  <si>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</si>
  <si>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</si>
  <si>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</si>
  <si>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</si>
  <si>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</si>
  <si>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</si>
  <si>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</si>
  <si>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</si>
  <si>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</si>
  <si>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</si>
  <si>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</si>
  <si>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</si>
  <si>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</si>
  <si>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</si>
  <si>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</si>
  <si>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</si>
  <si>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</si>
  <si>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</si>
  <si>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</si>
  <si>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</si>
  <si>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</si>
  <si>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</si>
  <si>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</si>
  <si>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</si>
  <si>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</si>
  <si>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</si>
  <si>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</si>
  <si>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</si>
  <si>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</si>
  <si>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</si>
  <si>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</si>
  <si>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</si>
  <si>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</si>
  <si>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</si>
  <si>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</si>
  <si>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</si>
  <si>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</si>
  <si>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</si>
  <si>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</si>
  <si>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</si>
  <si>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</si>
  <si>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</si>
  <si>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</si>
  <si>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</si>
  <si>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</si>
  <si>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</si>
  <si>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</si>
  <si>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</si>
  <si>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</si>
  <si>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</si>
  <si>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</si>
  <si>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</si>
  <si>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</si>
  <si>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</si>
  <si>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</si>
  <si>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</si>
  <si>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</si>
  <si>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</si>
  <si>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</si>
  <si>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</si>
  <si>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</si>
  <si>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</si>
  <si>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</si>
  <si>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</si>
  <si>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</si>
  <si>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</si>
  <si>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</si>
  <si>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</si>
  <si>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</si>
  <si>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</si>
  <si>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</si>
  <si>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</si>
  <si>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</si>
  <si>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</si>
  <si>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</si>
  <si>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</si>
  <si>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</si>
  <si>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</si>
  <si>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</si>
  <si>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</si>
  <si>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</si>
  <si>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</si>
  <si>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</si>
  <si>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</si>
  <si>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</si>
  <si>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</si>
  <si>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</si>
  <si>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</si>
  <si>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</si>
  <si>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</si>
  <si>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</si>
  <si>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</si>
  <si>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</si>
  <si>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</si>
  <si>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</si>
  <si>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</si>
  <si>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</si>
  <si>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</si>
  <si>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</si>
  <si>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</si>
  <si>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</si>
  <si>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</si>
  <si>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</si>
  <si>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</si>
  <si>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</si>
  <si>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</si>
  <si>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</si>
  <si>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</si>
  <si>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</si>
  <si>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</si>
  <si>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</si>
  <si>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</si>
  <si>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</si>
  <si>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</si>
  <si>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</si>
  <si>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</si>
  <si>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</si>
  <si>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</si>
  <si>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</si>
  <si>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</si>
  <si>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</si>
  <si>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</si>
  <si>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</si>
  <si>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</si>
  <si>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</si>
  <si>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</si>
  <si>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</si>
  <si>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</si>
  <si>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</si>
  <si>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</si>
  <si>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</si>
  <si>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</si>
  <si>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</si>
  <si>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</si>
  <si>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</si>
  <si>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</si>
  <si>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</si>
  <si>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</si>
  <si>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</si>
  <si>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</si>
  <si>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</si>
  <si>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</si>
  <si>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</si>
  <si>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</si>
  <si>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</si>
  <si>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</si>
  <si>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</si>
  <si>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</si>
  <si>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</si>
  <si>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</si>
  <si>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</si>
  <si>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</si>
  <si>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</si>
  <si>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</si>
  <si>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</si>
  <si>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</si>
  <si>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</si>
  <si>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</si>
  <si>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</si>
  <si>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</si>
  <si>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</si>
  <si>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</si>
  <si>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</si>
  <si>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</si>
  <si>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</si>
  <si>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</si>
  <si>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</si>
  <si>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</si>
  <si>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</si>
  <si>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</si>
  <si>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</si>
  <si>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</si>
  <si>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</si>
  <si>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</si>
  <si>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</si>
  <si>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</si>
  <si>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</si>
  <si>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</si>
  <si>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</si>
  <si>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</si>
  <si>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</si>
  <si>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</si>
  <si>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</si>
  <si>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</si>
  <si>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</si>
  <si>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</si>
  <si>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</si>
  <si>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</si>
  <si>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</si>
  <si>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</si>
  <si>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</si>
  <si>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</si>
  <si>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</si>
  <si>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</si>
  <si>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</si>
  <si>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</si>
  <si>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</si>
  <si>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</si>
  <si>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</si>
  <si>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</si>
  <si>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</si>
  <si>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</si>
  <si>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</si>
  <si>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</si>
  <si>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</si>
  <si>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</si>
  <si>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</si>
  <si>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</si>
  <si>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</si>
  <si>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</si>
  <si>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</si>
  <si>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</si>
  <si>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</si>
  <si>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</si>
  <si>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</si>
  <si>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</si>
  <si>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</si>
  <si>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</si>
  <si>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</si>
  <si>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</si>
  <si>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</si>
  <si>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</si>
  <si>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</si>
  <si>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</si>
  <si>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</si>
  <si>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</si>
  <si>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</si>
  <si>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</si>
  <si>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</si>
  <si>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</si>
  <si>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</si>
  <si>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</si>
  <si>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</si>
  <si>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</si>
  <si>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</si>
  <si>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</si>
  <si>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</si>
  <si>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</si>
  <si>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</si>
  <si>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</si>
  <si>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</si>
  <si>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</si>
  <si>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</si>
  <si>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</si>
  <si>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</si>
  <si>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</si>
  <si>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</si>
  <si>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</si>
  <si>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</si>
  <si>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</si>
  <si>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</si>
  <si>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</si>
  <si>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</si>
  <si>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</si>
  <si>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</si>
  <si>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</si>
  <si>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</si>
  <si>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</si>
  <si>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</si>
  <si>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</si>
  <si>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REGINO</t>
  </si>
  <si>
    <t xml:space="preserve">Occhiatana</t>
  </si>
  <si>
    <t xml:space="preserve">06222410</t>
  </si>
  <si>
    <t xml:space="preserve">7178d - RCS Corse 2015</t>
  </si>
  <si>
    <t xml:space="preserve">pl. courant</t>
  </si>
  <si>
    <t xml:space="preserve">pl. lent</t>
  </si>
  <si>
    <t xml:space="preserve">moyen</t>
  </si>
  <si>
    <t xml:space="preserve">peu abondant</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</si>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</sst>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C12" activeCellId="0" sqref="C1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42180</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11.78125</v>
      </c>
      <c r="N5" s="352"/>
      <c r="O5" s="353" t="s">
        <v>193</v>
      </c>
      <c r="P5" s="354" t="n">
        <v>11.0384615384615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58</v>
      </c>
      <c r="C7" s="370" t="n">
        <v>42</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11.8571428571429</v>
      </c>
      <c r="P8" s="384" t="n">
        <f aca="false">IF(ISERROR(AVERAGE(K23:K82)),"  ",AVERAGE(K23:K82))</f>
        <v>1.57142857142857</v>
      </c>
      <c r="Q8" s="385"/>
      <c r="R8" s="309"/>
      <c r="S8" s="309"/>
      <c r="T8" s="309"/>
      <c r="U8" s="309"/>
      <c r="V8" s="309"/>
      <c r="W8" s="323"/>
    </row>
    <row r="9" customFormat="false" ht="12.75" hidden="false" customHeight="false" outlineLevel="0" collapsed="false">
      <c r="A9" s="342" t="s">
        <v>3394</v>
      </c>
      <c r="B9" s="386" t="n">
        <v>5.9</v>
      </c>
      <c r="C9" s="387" t="n">
        <v>5.15</v>
      </c>
      <c r="D9" s="388"/>
      <c r="E9" s="388"/>
      <c r="F9" s="389" t="n">
        <f aca="false">($B9*$B$7+$C9*$C$7)/100</f>
        <v>5.585</v>
      </c>
      <c r="G9" s="390"/>
      <c r="H9" s="345"/>
      <c r="I9" s="309"/>
      <c r="J9" s="391"/>
      <c r="K9" s="392"/>
      <c r="L9" s="375"/>
      <c r="M9" s="393"/>
      <c r="N9" s="383" t="s">
        <v>3395</v>
      </c>
      <c r="O9" s="384" t="n">
        <f aca="false">IF(ISERROR(STDEVP(J23:J82))," ",STDEVP(J23:J82))</f>
        <v>2.74791200881019</v>
      </c>
      <c r="P9" s="384" t="n">
        <f aca="false">IF(ISERROR(STDEVP(K23:K82)),"  ",STDEVP(K23:K82))</f>
        <v>0.494871659305394</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8</v>
      </c>
      <c r="M15" s="409"/>
      <c r="N15" s="417" t="s">
        <v>3412</v>
      </c>
      <c r="O15" s="418" t="n">
        <f aca="false">COUNTIF(K23:K82,"=1")</f>
        <v>6</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8</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0.875</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5.87</v>
      </c>
      <c r="C20" s="461" t="n">
        <f aca="false">SUM(C23:C62)</f>
        <v>5.15</v>
      </c>
      <c r="D20" s="462"/>
      <c r="E20" s="463" t="s">
        <v>3419</v>
      </c>
      <c r="F20" s="464" t="n">
        <f aca="false">($B20*$B$7+$C20*$C$7)/100</f>
        <v>5.5676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3.4046</v>
      </c>
      <c r="C21" s="472" t="n">
        <f aca="false">C20*C7/100</f>
        <v>2.163</v>
      </c>
      <c r="D21" s="473" t="s">
        <v>3422</v>
      </c>
      <c r="E21" s="474"/>
      <c r="F21" s="475" t="n">
        <f aca="false">B21+C21</f>
        <v>5.5676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63</v>
      </c>
      <c r="B23" s="501"/>
      <c r="C23" s="502" t="n">
        <v>0.005</v>
      </c>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0.0021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0.0021</v>
      </c>
      <c r="S23" s="514" t="n">
        <f aca="false">IF(OR(ISTEXT(H23),R23=0),"",IF(R23&lt;0.1,1,IF(R23&lt;1,2,IF(R23&lt;10,3,IF(R23&lt;50,4,IF(R23&gt;=50,5,""))))))</f>
        <v>1</v>
      </c>
      <c r="T23" s="514" t="n">
        <f aca="false">IF(ISERROR(S23*J23),0,S23*J23)</f>
        <v>16</v>
      </c>
      <c r="U23" s="514" t="n">
        <f aca="false">IF(ISERROR(S23*J23*K23),0,S23*J23*K23)</f>
        <v>32</v>
      </c>
      <c r="V23" s="514" t="n">
        <f aca="false">IF(ISERROR(S23*K23),0,S23*K23)</f>
        <v>2</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193</v>
      </c>
      <c r="B24" s="519" t="n">
        <v>3.2</v>
      </c>
      <c r="C24" s="520" t="n">
        <v>3.6</v>
      </c>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3.368</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3.368</v>
      </c>
      <c r="S24" s="514" t="n">
        <f aca="false">IF(OR(ISTEXT(H24),R24=0),"",IF(R24&lt;0.1,1,IF(R24&lt;1,2,IF(R24&lt;10,3,IF(R24&lt;50,4,IF(R24&gt;=50,5,""))))))</f>
        <v>3</v>
      </c>
      <c r="T24" s="514" t="n">
        <f aca="false">IF(ISERROR(S24*J24),0,S24*J24)</f>
        <v>45</v>
      </c>
      <c r="U24" s="514" t="n">
        <f aca="false">IF(ISERROR(S24*J24*K24),0,S24*J24*K24)</f>
        <v>90</v>
      </c>
      <c r="V24" s="530" t="n">
        <f aca="false">IF(ISERROR(S24*K24),0,S24*K24)</f>
        <v>6</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215</v>
      </c>
      <c r="B25" s="519" t="n">
        <v>0.25</v>
      </c>
      <c r="C25" s="520"/>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0.145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0.145</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446</v>
      </c>
      <c r="B26" s="519" t="n">
        <v>0.04</v>
      </c>
      <c r="C26" s="520" t="n">
        <v>0.02</v>
      </c>
      <c r="D26" s="521" t="str">
        <f aca="false">IF(ISERROR(VLOOKUP($A26,'liste reference'!$A$6:$B$1174,2,0)),IF(ISERROR(VLOOKUP($A26,'liste reference'!$B$6:$B$1174,1,0)),"",VLOOKUP($A26,'liste reference'!$B$6:$B$1174,1,0)),VLOOKUP($A26,'liste reference'!$A$6:$B$1174,2,0))</f>
        <v>Chiloscyphus polyanthos</v>
      </c>
      <c r="E26" s="522" t="e">
        <f aca="false">IF(D26="",0,VLOOKUP(D26,D$22:D25,1,0))</f>
        <v>#N/A</v>
      </c>
      <c r="F26" s="523" t="n">
        <f aca="false">IF(AND(OR(A26="",A26="!!!!!!"),B26="",C26=""),"",IF(OR(AND(B26="",C26=""),ISERROR(C26+B26)),"!!!",($B26*$B$7+$C26*$C$7)/100))</f>
        <v>0.0316</v>
      </c>
      <c r="G26" s="524" t="str">
        <f aca="false">IF(A26="","",IF(ISERROR(VLOOKUP($A26,'liste reference'!$A$6:$Q$1174,9,0)),IF(ISERROR(VLOOKUP($A26,'liste reference'!$B$6:$Q$1174,8,0)),"    -",VLOOKUP($A26,'liste reference'!$B$6:$Q$1174,8,0)),VLOOKUP($A26,'liste reference'!$A$6:$Q$1174,9,0)))</f>
        <v>BRh</v>
      </c>
      <c r="H26" s="525" t="n">
        <f aca="false">IF(A26="","x",IF(ISERROR(VLOOKUP($A26,'liste reference'!$A$6:$Q$1174,10,0)),IF(ISERROR(VLOOKUP($A26,'liste reference'!$B$6:$Q$1174,9,0)),"x",VLOOKUP($A26,'liste reference'!$B$6:$Q$1174,9,0)),VLOOKUP($A26,'liste reference'!$A$6:$Q$1174,10,0)))</f>
        <v>4</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Chiloscyphus polyanthos</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1186</v>
      </c>
      <c r="R26" s="513" t="n">
        <f aca="false">IF(ISTEXT(H26),"",(B26*$B$7/100)+(C26*$C$7/100))</f>
        <v>0.0316</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CHIPOL</v>
      </c>
      <c r="Z26" s="499" t="n">
        <f aca="false">IF(ISERROR(MATCH(A26,'liste reference'!$A$6:$A$1174,0)),IF(ISERROR(MATCH(A26,'liste reference'!$B$6:$B$1174,0)),"",(MATCH(A26,'liste reference'!$B$6:$B$1174,0))),(MATCH(A26,'liste reference'!$A$6:$A$1174,0)))</f>
        <v>137</v>
      </c>
    </row>
    <row r="27" customFormat="false" ht="12.75" hidden="false" customHeight="false" outlineLevel="0" collapsed="false">
      <c r="A27" s="518" t="s">
        <v>499</v>
      </c>
      <c r="B27" s="519" t="n">
        <v>0.005</v>
      </c>
      <c r="C27" s="520"/>
      <c r="D27" s="521" t="str">
        <f aca="false">IF(ISERROR(VLOOKUP($A27,'liste reference'!$A$6:$B$1174,2,0)),IF(ISERROR(VLOOKUP($A27,'liste reference'!$B$6:$B$1174,1,0)),"",VLOOKUP($A27,'liste reference'!$B$6:$B$1174,1,0)),VLOOKUP($A27,'liste reference'!$A$6:$B$1174,2,0))</f>
        <v>Lophocolea bidentata</v>
      </c>
      <c r="E27" s="522" t="e">
        <f aca="false">IF(D27="",0,VLOOKUP(D27,D$22:D26,1,0))</f>
        <v>#N/A</v>
      </c>
      <c r="F27" s="523" t="n">
        <f aca="false">IF(AND(OR(A27="",A27="!!!!!!"),B27="",C27=""),"",IF(OR(AND(B27="",C27=""),ISERROR(C27+B27)),"!!!",($B27*$B$7+$C27*$C$7)/100))</f>
        <v>0.0029</v>
      </c>
      <c r="G27" s="524" t="str">
        <f aca="false">IF(A27="","",IF(ISERROR(VLOOKUP($A27,'liste reference'!$A$6:$Q$1174,9,0)),IF(ISERROR(VLOOKUP($A27,'liste reference'!$B$6:$Q$1174,8,0)),"    -",VLOOKUP($A27,'liste reference'!$B$6:$Q$1174,8,0)),VLOOKUP($A27,'liste reference'!$A$6:$Q$1174,9,0)))</f>
        <v>BRh</v>
      </c>
      <c r="H27" s="525" t="n">
        <f aca="false">IF(A27="","x",IF(ISERROR(VLOOKUP($A27,'liste reference'!$A$6:$Q$1174,10,0)),IF(ISERROR(VLOOKUP($A27,'liste reference'!$B$6:$Q$1174,9,0)),"x",VLOOKUP($A27,'liste reference'!$B$6:$Q$1174,9,0)),VLOOKUP($A27,'liste reference'!$A$6:$Q$1174,10,0)))</f>
        <v>4</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Lophocolea bidentata</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34438</v>
      </c>
      <c r="R27" s="513" t="n">
        <f aca="false">IF(ISTEXT(H27),"",(B27*$B$7/100)+(C27*$C$7/100))</f>
        <v>0.0029</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LOPBID</v>
      </c>
      <c r="Z27" s="499" t="n">
        <f aca="false">IF(ISERROR(MATCH(A27,'liste reference'!$A$6:$A$1174,0)),IF(ISERROR(MATCH(A27,'liste reference'!$B$6:$B$1174,0)),"",(MATCH(A27,'liste reference'!$B$6:$B$1174,0))),(MATCH(A27,'liste reference'!$A$6:$A$1174,0)))</f>
        <v>152</v>
      </c>
    </row>
    <row r="28" customFormat="false" ht="12.75" hidden="false" customHeight="false" outlineLevel="0" collapsed="false">
      <c r="A28" s="518" t="s">
        <v>887</v>
      </c>
      <c r="B28" s="519" t="n">
        <v>0.05</v>
      </c>
      <c r="C28" s="520"/>
      <c r="D28" s="521" t="str">
        <f aca="false">IF(ISERROR(VLOOKUP($A28,'liste reference'!$A$6:$B$1174,2,0)),IF(ISERROR(VLOOKUP($A28,'liste reference'!$B$6:$B$1174,1,0)),"",VLOOKUP($A28,'liste reference'!$B$6:$B$1174,1,0)),VLOOKUP($A28,'liste reference'!$A$6:$B$1174,2,0))</f>
        <v>Fontinalis antipyretica</v>
      </c>
      <c r="E28" s="522" t="e">
        <f aca="false">IF(D28="",0,VLOOKUP(D28,D$22:D27,1,0))</f>
        <v>#N/A</v>
      </c>
      <c r="F28" s="523" t="n">
        <f aca="false">IF(AND(OR(A28="",A28="!!!!!!"),B28="",C28=""),"",IF(OR(AND(B28="",C28=""),ISERROR(C28+B28)),"!!!",($B28*$B$7+$C28*$C$7)/100))</f>
        <v>0.029</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Fontinalis antipyretica</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1310</v>
      </c>
      <c r="R28" s="513" t="n">
        <f aca="false">IF(ISTEXT(H28),"",(B28*$B$7/100)+(C28*$C$7/100))</f>
        <v>0.029</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FONANT</v>
      </c>
      <c r="Z28" s="499" t="n">
        <f aca="false">IF(ISERROR(MATCH(A28,'liste reference'!$A$6:$A$1174,0)),IF(ISERROR(MATCH(A28,'liste reference'!$B$6:$B$1174,0)),"",(MATCH(A28,'liste reference'!$B$6:$B$1174,0))),(MATCH(A28,'liste reference'!$A$6:$A$1174,0)))</f>
        <v>273</v>
      </c>
    </row>
    <row r="29" customFormat="false" ht="12.75" hidden="false" customHeight="false" outlineLevel="0" collapsed="false">
      <c r="A29" s="518" t="s">
        <v>972</v>
      </c>
      <c r="B29" s="519" t="n">
        <v>2.25</v>
      </c>
      <c r="C29" s="520" t="n">
        <v>1.5</v>
      </c>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1.935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1.935</v>
      </c>
      <c r="S29" s="514" t="n">
        <f aca="false">IF(OR(ISTEXT(H29),R29=0),"",IF(R29&lt;0.1,1,IF(R29&lt;1,2,IF(R29&lt;10,3,IF(R29&lt;50,4,IF(R29&gt;=50,5,""))))))</f>
        <v>3</v>
      </c>
      <c r="T29" s="514" t="n">
        <f aca="false">IF(ISERROR(S29*J29),0,S29*J29)</f>
        <v>15</v>
      </c>
      <c r="U29" s="514" t="n">
        <f aca="false">IF(ISERROR(S29*J29*K29),0,S29*J29*K29)</f>
        <v>30</v>
      </c>
      <c r="V29" s="530" t="n">
        <f aca="false">IF(ISERROR(S29*K29),0,S29*K29)</f>
        <v>6</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1120</v>
      </c>
      <c r="B30" s="519" t="n">
        <v>0.03</v>
      </c>
      <c r="C30" s="520"/>
      <c r="D30" s="521" t="str">
        <f aca="false">IF(ISERROR(VLOOKUP($A30,'liste reference'!$A$6:$B$1174,2,0)),IF(ISERROR(VLOOKUP($A30,'liste reference'!$B$6:$B$1174,1,0)),"",VLOOKUP($A30,'liste reference'!$B$6:$B$1174,1,0)),VLOOKUP($A30,'liste reference'!$A$6:$B$1174,2,0))</f>
        <v>Rhynchostegium riparioides</v>
      </c>
      <c r="E30" s="522" t="e">
        <f aca="false">IF(D30="",0,VLOOKUP(D30,D$22:D29,1,0))</f>
        <v>#N/A</v>
      </c>
      <c r="F30" s="523" t="n">
        <f aca="false">IF(AND(OR(A30="",A30="!!!!!!"),B30="",C30=""),"",IF(OR(AND(B30="",C30=""),ISERROR(C30+B30)),"!!!",($B30*$B$7+$C30*$C$7)/100))</f>
        <v>0.0174</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Rhynchostegium riparioides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31691</v>
      </c>
      <c r="R30" s="513" t="n">
        <f aca="false">IF(ISTEXT(H30),"",(B30*$B$7/100)+(C30*$C$7/100))</f>
        <v>0.0174</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RHYRIP</v>
      </c>
      <c r="Z30" s="499" t="n">
        <f aca="false">IF(ISERROR(MATCH(A30,'liste reference'!$A$6:$A$1174,0)),IF(ISERROR(MATCH(A30,'liste reference'!$B$6:$B$1174,0)),"",(MATCH(A30,'liste reference'!$B$6:$B$1174,0))),(MATCH(A30,'liste reference'!$A$6:$A$1174,0)))</f>
        <v>345</v>
      </c>
    </row>
    <row r="31" customFormat="false" ht="12.75" hidden="false" customHeight="false" outlineLevel="0" collapsed="false">
      <c r="A31" s="518" t="s">
        <v>1414</v>
      </c>
      <c r="B31" s="519" t="n">
        <v>0.005</v>
      </c>
      <c r="C31" s="520" t="n">
        <v>0.005</v>
      </c>
      <c r="D31" s="521" t="str">
        <f aca="false">IF(ISERROR(VLOOKUP($A31,'liste reference'!$A$6:$B$1174,2,0)),IF(ISERROR(VLOOKUP($A31,'liste reference'!$B$6:$B$1174,1,0)),"",VLOOKUP($A31,'liste reference'!$B$6:$B$1174,1,0)),VLOOKUP($A31,'liste reference'!$A$6:$B$1174,2,0))</f>
        <v>Callitriche stagnalis</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PHy</v>
      </c>
      <c r="H31" s="525" t="n">
        <f aca="false">IF(A31="","x",IF(ISERROR(VLOOKUP($A31,'liste reference'!$A$6:$Q$1174,10,0)),IF(ISERROR(VLOOKUP($A31,'liste reference'!$B$6:$Q$1174,9,0)),"x",VLOOKUP($A31,'liste reference'!$B$6:$Q$1174,9,0)),VLOOKUP($A31,'liste reference'!$A$6:$Q$1174,10,0)))</f>
        <v>7</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Callitriche stagnalis</v>
      </c>
      <c r="M31" s="533"/>
      <c r="N31" s="533"/>
      <c r="O31" s="533"/>
      <c r="P31" s="528" t="s">
        <v>3442</v>
      </c>
      <c r="Q31" s="529" t="n">
        <f aca="false">IF(OR($A31="NEWCOD",$A31="!!!!!!"),IF(X31="","NoCod",X31),IF($A31="","",IF(ISERROR(VLOOKUP($A31,'liste reference'!$A$6:$H$1174,8,FALSE())),IF(ISERROR(VLOOKUP($A31,'liste reference'!$B$6:$H$1174,7,FALSE())),"",VLOOKUP($A31,'liste reference'!$B$6:$H$1174,7,FALSE())),VLOOKUP($A31,'liste reference'!$A$6:$H$1174,8,FALSE()))))</f>
        <v>1703</v>
      </c>
      <c r="R31" s="513" t="n">
        <f aca="false">IF(ISTEXT(H31),"",(B31*$B$7/100)+(C31*$C$7/100))</f>
        <v>0.005</v>
      </c>
      <c r="S31" s="514" t="n">
        <f aca="false">IF(OR(ISTEXT(H31),R31=0),"",IF(R31&lt;0.1,1,IF(R31&lt;1,2,IF(R31&lt;10,3,IF(R31&lt;50,4,IF(R31&gt;=50,5,""))))))</f>
        <v>1</v>
      </c>
      <c r="T31" s="514" t="n">
        <f aca="false">IF(ISERROR(S31*J31),0,S31*J31)</f>
        <v>12</v>
      </c>
      <c r="U31" s="514" t="n">
        <f aca="false">IF(ISERROR(S31*J31*K31),0,S31*J31*K31)</f>
        <v>24</v>
      </c>
      <c r="V31" s="530" t="n">
        <f aca="false">IF(ISERROR(S31*K31),0,S31*K31)</f>
        <v>2</v>
      </c>
      <c r="W31" s="531"/>
      <c r="X31" s="532"/>
      <c r="Y31" s="517" t="str">
        <f aca="false">IF(AND(ISNUMBER(F31),OR(A31="",A31="!!!!!!")),"!!!!!!",IF(A31="new.cod","NEWCOD",IF(AND((Z31=""),ISTEXT(A31),A31&lt;&gt;"!!!!!!"),A31,IF(Z31="","",INDEX('liste reference'!$A$6:$A$1174,Z31)))))</f>
        <v>CALSTA</v>
      </c>
      <c r="Z31" s="499" t="n">
        <f aca="false">IF(ISERROR(MATCH(A31,'liste reference'!$A$6:$A$1174,0)),IF(ISERROR(MATCH(A31,'liste reference'!$B$6:$B$1174,0)),"",(MATCH(A31,'liste reference'!$B$6:$B$1174,0))),(MATCH(A31,'liste reference'!$A$6:$A$1174,0)))</f>
        <v>442</v>
      </c>
    </row>
    <row r="32" customFormat="false" ht="12.75" hidden="false" customHeight="false" outlineLevel="0" collapsed="false">
      <c r="A32" s="518" t="s">
        <v>1481</v>
      </c>
      <c r="B32" s="519" t="n">
        <v>0.01</v>
      </c>
      <c r="C32" s="520"/>
      <c r="D32" s="521" t="str">
        <f aca="false">IF(ISERROR(VLOOKUP($A32,'liste reference'!$A$6:$B$1174,2,0)),IF(ISERROR(VLOOKUP($A32,'liste reference'!$B$6:$B$1174,1,0)),"",VLOOKUP($A32,'liste reference'!$B$6:$B$1174,1,0)),VLOOKUP($A32,'liste reference'!$A$6:$B$1174,2,0))</f>
        <v>Helosciadium nodiflorum </v>
      </c>
      <c r="E32" s="522" t="e">
        <f aca="false">IF(D32="",0,VLOOKUP(D32,D$22:D31,1,0))</f>
        <v>#N/A</v>
      </c>
      <c r="F32" s="523" t="n">
        <f aca="false">IF(AND(OR(A32="",A32="!!!!!!"),B32="",C32=""),"",IF(OR(AND(B32="",C32=""),ISERROR(C32+B32)),"!!!",($B32*$B$7+$C32*$C$7)/100))</f>
        <v>0.0058</v>
      </c>
      <c r="G32" s="524" t="str">
        <f aca="false">IF(A32="","",IF(ISERROR(VLOOKUP($A32,'liste reference'!$A$6:$Q$1174,9,0)),IF(ISERROR(VLOOKUP($A32,'liste reference'!$B$6:$Q$1174,8,0)),"    -",VLOOKUP($A32,'liste reference'!$B$6:$Q$1174,8,0)),VLOOKUP($A32,'liste reference'!$A$6:$Q$1174,9,0)))</f>
        <v>PHy</v>
      </c>
      <c r="H32" s="525" t="n">
        <f aca="false">IF(A32="","x",IF(ISERROR(VLOOKUP($A32,'liste reference'!$A$6:$Q$1174,10,0)),IF(ISERROR(VLOOKUP($A32,'liste reference'!$B$6:$Q$1174,9,0)),"x",VLOOKUP($A32,'liste reference'!$B$6:$Q$1174,9,0)),VLOOKUP($A32,'liste reference'!$A$6:$Q$1174,10,0)))</f>
        <v>7</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Helosciadium nodiflorum </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30053</v>
      </c>
      <c r="R32" s="513" t="n">
        <f aca="false">IF(ISTEXT(H32),"",(B32*$B$7/100)+(C32*$C$7/100))</f>
        <v>0.0058</v>
      </c>
      <c r="S32" s="514" t="n">
        <f aca="false">IF(OR(ISTEXT(H32),R32=0),"",IF(R32&lt;0.1,1,IF(R32&lt;1,2,IF(R32&lt;10,3,IF(R32&lt;50,4,IF(R32&gt;=50,5,""))))))</f>
        <v>1</v>
      </c>
      <c r="T32" s="514" t="n">
        <f aca="false">IF(ISERROR(S32*J32),0,S32*J32)</f>
        <v>10</v>
      </c>
      <c r="U32" s="514" t="n">
        <f aca="false">IF(ISERROR(S32*J32*K32),0,S32*J32*K32)</f>
        <v>10</v>
      </c>
      <c r="V32" s="530" t="n">
        <f aca="false">IF(ISERROR(S32*K32),0,S32*K32)</f>
        <v>1</v>
      </c>
      <c r="W32" s="531"/>
      <c r="X32" s="532"/>
      <c r="Y32" s="517" t="str">
        <f aca="false">IF(AND(ISNUMBER(F32),OR(A32="",A32="!!!!!!")),"!!!!!!",IF(A32="new.cod","NEWCOD",IF(AND((Z32=""),ISTEXT(A32),A32&lt;&gt;"!!!!!!"),A32,IF(Z32="","",INDEX('liste reference'!$A$6:$A$1174,Z32)))))</f>
        <v>HELNOD</v>
      </c>
      <c r="Z32" s="499" t="n">
        <f aca="false">IF(ISERROR(MATCH(A32,'liste reference'!$A$6:$A$1174,0)),IF(ISERROR(MATCH(A32,'liste reference'!$B$6:$B$1174,0)),"",(MATCH(A32,'liste reference'!$B$6:$B$1174,0))),(MATCH(A32,'liste reference'!$A$6:$A$1174,0)))</f>
        <v>460</v>
      </c>
    </row>
    <row r="33" customFormat="false" ht="12.75" hidden="false" customHeight="false" outlineLevel="0" collapsed="false">
      <c r="A33" s="518" t="s">
        <v>2134</v>
      </c>
      <c r="B33" s="519" t="n">
        <v>0.005</v>
      </c>
      <c r="C33" s="520"/>
      <c r="D33" s="521" t="str">
        <f aca="false">IF(ISERROR(VLOOKUP($A33,'liste reference'!$A$6:$B$1174,2,0)),IF(ISERROR(VLOOKUP($A33,'liste reference'!$B$6:$B$1174,1,0)),"",VLOOKUP($A33,'liste reference'!$B$6:$B$1174,1,0)),VLOOKUP($A33,'liste reference'!$A$6:$B$1174,2,0))</f>
        <v>Mentha aquatica</v>
      </c>
      <c r="E33" s="522" t="e">
        <f aca="false">IF(D33="",0,VLOOKUP(D33,D$22:D32,1,0))</f>
        <v>#N/A</v>
      </c>
      <c r="F33" s="523" t="n">
        <f aca="false">IF(AND(OR(A33="",A33="!!!!!!"),B33="",C33=""),"",IF(OR(AND(B33="",C33=""),ISERROR(C33+B33)),"!!!",($B33*$B$7+$C33*$C$7)/100))</f>
        <v>0.0029</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12</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Mentha aquatica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1791</v>
      </c>
      <c r="R33" s="513" t="n">
        <f aca="false">IF(ISTEXT(H33),"",(B33*$B$7/100)+(C33*$C$7/100))</f>
        <v>0.0029</v>
      </c>
      <c r="S33" s="514" t="n">
        <f aca="false">IF(OR(ISTEXT(H33),R33=0),"",IF(R33&lt;0.1,1,IF(R33&lt;1,2,IF(R33&lt;10,3,IF(R33&lt;50,4,IF(R33&gt;=50,5,""))))))</f>
        <v>1</v>
      </c>
      <c r="T33" s="514" t="n">
        <f aca="false">IF(ISERROR(S33*J33),0,S33*J33)</f>
        <v>12</v>
      </c>
      <c r="U33" s="514" t="n">
        <f aca="false">IF(ISERROR(S33*J33*K33),0,S33*J33*K33)</f>
        <v>12</v>
      </c>
      <c r="V33" s="530" t="n">
        <f aca="false">IF(ISERROR(S33*K33),0,S33*K33)</f>
        <v>1</v>
      </c>
      <c r="W33" s="531"/>
      <c r="X33" s="532"/>
      <c r="Y33" s="517" t="str">
        <f aca="false">IF(AND(ISNUMBER(F33),OR(A33="",A33="!!!!!!")),"!!!!!!",IF(A33="new.cod","NEWCOD",IF(AND((Z33=""),ISTEXT(A33),A33&lt;&gt;"!!!!!!"),A33,IF(Z33="","",INDEX('liste reference'!$A$6:$A$1174,Z33)))))</f>
        <v>MENAQU</v>
      </c>
      <c r="Z33" s="499" t="n">
        <f aca="false">IF(ISERROR(MATCH(A33,'liste reference'!$A$6:$A$1174,0)),IF(ISERROR(MATCH(A33,'liste reference'!$B$6:$B$1174,0)),"",(MATCH(A33,'liste reference'!$B$6:$B$1174,0))),(MATCH(A33,'liste reference'!$A$6:$A$1174,0)))</f>
        <v>694</v>
      </c>
    </row>
    <row r="34" customFormat="false" ht="12.75" hidden="false" customHeight="false" outlineLevel="0" collapsed="false">
      <c r="A34" s="518" t="s">
        <v>2162</v>
      </c>
      <c r="B34" s="519" t="n">
        <v>0.005</v>
      </c>
      <c r="C34" s="520"/>
      <c r="D34" s="521" t="str">
        <f aca="false">IF(ISERROR(VLOOKUP($A34,'liste reference'!$A$6:$B$1174,2,0)),IF(ISERROR(VLOOKUP($A34,'liste reference'!$B$6:$B$1174,1,0)),"",VLOOKUP($A34,'liste reference'!$B$6:$B$1174,1,0)),VLOOKUP($A34,'liste reference'!$A$6:$B$1174,2,0))</f>
        <v>Nasturtium officinale</v>
      </c>
      <c r="E34" s="522" t="e">
        <f aca="false">IF(D34="",0,VLOOKUP(D34,D$22:D33,1,0))</f>
        <v>#N/A</v>
      </c>
      <c r="F34" s="523" t="n">
        <f aca="false">IF(AND(OR(A34="",A34="!!!!!!"),B34="",C34=""),"",IF(OR(AND(B34="",C34=""),ISERROR(C34+B34)),"!!!",($B34*$B$7+$C34*$C$7)/100))</f>
        <v>0.0029</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Nasturtium officinale</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1763</v>
      </c>
      <c r="R34" s="513" t="n">
        <f aca="false">IF(ISTEXT(H34),"",(B34*$B$7/100)+(C34*$C$7/100))</f>
        <v>0.0029</v>
      </c>
      <c r="S34" s="514" t="n">
        <f aca="false">IF(OR(ISTEXT(H34),R34=0),"",IF(R34&lt;0.1,1,IF(R34&lt;1,2,IF(R34&lt;10,3,IF(R34&lt;50,4,IF(R34&gt;=50,5,""))))))</f>
        <v>1</v>
      </c>
      <c r="T34" s="514" t="n">
        <f aca="false">IF(ISERROR(S34*J34),0,S34*J34)</f>
        <v>11</v>
      </c>
      <c r="U34" s="514" t="n">
        <f aca="false">IF(ISERROR(S34*J34*K34),0,S34*J34*K34)</f>
        <v>11</v>
      </c>
      <c r="V34" s="530" t="n">
        <f aca="false">IF(ISERROR(S34*K34),0,S34*K34)</f>
        <v>1</v>
      </c>
      <c r="W34" s="531"/>
      <c r="X34" s="532"/>
      <c r="Y34" s="517" t="str">
        <f aca="false">IF(AND(ISNUMBER(F34),OR(A34="",A34="!!!!!!")),"!!!!!!",IF(A34="new.cod","NEWCOD",IF(AND((Z34=""),ISTEXT(A34),A34&lt;&gt;"!!!!!!"),A34,IF(Z34="","",INDEX('liste reference'!$A$6:$A$1174,Z34)))))</f>
        <v>NASOFF</v>
      </c>
      <c r="Z34" s="499" t="n">
        <f aca="false">IF(ISERROR(MATCH(A34,'liste reference'!$A$6:$A$1174,0)),IF(ISERROR(MATCH(A34,'liste reference'!$B$6:$B$1174,0)),"",(MATCH(A34,'liste reference'!$B$6:$B$1174,0))),(MATCH(A34,'liste reference'!$A$6:$A$1174,0)))</f>
        <v>704</v>
      </c>
    </row>
    <row r="35" customFormat="false" ht="12.75" hidden="false" customHeight="false" outlineLevel="0" collapsed="false">
      <c r="A35" s="518" t="s">
        <v>2164</v>
      </c>
      <c r="B35" s="519" t="n">
        <v>0.005</v>
      </c>
      <c r="C35" s="520" t="n">
        <v>0.005</v>
      </c>
      <c r="D35" s="521" t="str">
        <f aca="false">IF(ISERROR(VLOOKUP($A35,'liste reference'!$A$6:$B$1174,2,0)),IF(ISERROR(VLOOKUP($A35,'liste reference'!$B$6:$B$1174,1,0)),"",VLOOKUP($A35,'liste reference'!$B$6:$B$1174,1,0)),VLOOKUP($A35,'liste reference'!$A$6:$B$1174,2,0))</f>
        <v>Oenanthe crocata</v>
      </c>
      <c r="E35" s="522" t="e">
        <f aca="false">IF(D35="",0,VLOOKUP(D35,D$22:D34,1,0))</f>
        <v>#N/A</v>
      </c>
      <c r="F35" s="523" t="n">
        <f aca="false">IF(AND(OR(A35="",A35="!!!!!!"),B35="",C35=""),"",IF(OR(AND(B35="",C35=""),ISERROR(C35+B35)),"!!!",($B35*$B$7+$C35*$C$7)/100))</f>
        <v>0.005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Oenanthe crocata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1986</v>
      </c>
      <c r="R35" s="513" t="n">
        <f aca="false">IF(ISTEXT(H35),"",(B35*$B$7/100)+(C35*$C$7/100))</f>
        <v>0.005</v>
      </c>
      <c r="S35" s="514" t="n">
        <f aca="false">IF(OR(ISTEXT(H35),R35=0),"",IF(R35&lt;0.1,1,IF(R35&lt;1,2,IF(R35&lt;10,3,IF(R35&lt;50,4,IF(R35&gt;=50,5,""))))))</f>
        <v>1</v>
      </c>
      <c r="T35" s="514" t="n">
        <f aca="false">IF(ISERROR(S35*J35),0,S35*J35)</f>
        <v>12</v>
      </c>
      <c r="U35" s="514" t="n">
        <f aca="false">IF(ISERROR(S35*J35*K35),0,S35*J35*K35)</f>
        <v>24</v>
      </c>
      <c r="V35" s="530" t="n">
        <f aca="false">IF(ISERROR(S35*K35),0,S35*K35)</f>
        <v>2</v>
      </c>
      <c r="W35" s="531"/>
      <c r="X35" s="532"/>
      <c r="Y35" s="517" t="str">
        <f aca="false">IF(AND(ISNUMBER(F35),OR(A35="",A35="!!!!!!")),"!!!!!!",IF(A35="new.cod","NEWCOD",IF(AND((Z35=""),ISTEXT(A35),A35&lt;&gt;"!!!!!!"),A35,IF(Z35="","",INDEX('liste reference'!$A$6:$A$1174,Z35)))))</f>
        <v>OENCRO</v>
      </c>
      <c r="Z35" s="499" t="n">
        <f aca="false">IF(ISERROR(MATCH(A35,'liste reference'!$A$6:$A$1174,0)),IF(ISERROR(MATCH(A35,'liste reference'!$B$6:$B$1174,0)),"",(MATCH(A35,'liste reference'!$B$6:$B$1174,0))),(MATCH(A35,'liste reference'!$A$6:$A$1174,0)))</f>
        <v>705</v>
      </c>
    </row>
    <row r="36" customFormat="false" ht="12.75" hidden="false" customHeight="false" outlineLevel="0" collapsed="false">
      <c r="A36" s="518" t="s">
        <v>2238</v>
      </c>
      <c r="B36" s="519"/>
      <c r="C36" s="520" t="n">
        <v>0.01</v>
      </c>
      <c r="D36" s="521" t="str">
        <f aca="false">IF(ISERROR(VLOOKUP($A36,'liste reference'!$A$6:$B$1174,2,0)),IF(ISERROR(VLOOKUP($A36,'liste reference'!$B$6:$B$1174,1,0)),"",VLOOKUP($A36,'liste reference'!$B$6:$B$1174,1,0)),VLOOKUP($A36,'liste reference'!$A$6:$B$1174,2,0))</f>
        <v>Sparganium erectum</v>
      </c>
      <c r="E36" s="522" t="e">
        <f aca="false">IF(D36="",0,VLOOKUP(D36,D$22:D35,1,0))</f>
        <v>#N/A</v>
      </c>
      <c r="F36" s="523" t="n">
        <f aca="false">IF(AND(OR(A36="",A36="!!!!!!"),B36="",C36=""),"",IF(OR(AND(B36="",C36=""),ISERROR(C36+B36)),"!!!",($B36*$B$7+$C36*$C$7)/100))</f>
        <v>0.0042</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Sparganium erectum</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1671</v>
      </c>
      <c r="R36" s="513" t="n">
        <f aca="false">IF(ISTEXT(H36),"",(B36*$B$7/100)+(C36*$C$7/100))</f>
        <v>0.0042</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SPAERE</v>
      </c>
      <c r="Z36" s="499" t="n">
        <f aca="false">IF(ISERROR(MATCH(A36,'liste reference'!$A$6:$A$1174,0)),IF(ISERROR(MATCH(A36,'liste reference'!$B$6:$B$1174,0)),"",(MATCH(A36,'liste reference'!$B$6:$B$1174,0))),(MATCH(A36,'liste reference'!$A$6:$A$1174,0)))</f>
        <v>732</v>
      </c>
    </row>
    <row r="37" customFormat="false" ht="12.75" hidden="false" customHeight="false" outlineLevel="0" collapsed="false">
      <c r="A37" s="518" t="s">
        <v>2258</v>
      </c>
      <c r="B37" s="519" t="n">
        <v>0.005</v>
      </c>
      <c r="C37" s="520" t="n">
        <v>0.005</v>
      </c>
      <c r="D37" s="521" t="str">
        <f aca="false">IF(ISERROR(VLOOKUP($A37,'liste reference'!$A$6:$B$1174,2,0)),IF(ISERROR(VLOOKUP($A37,'liste reference'!$B$6:$B$1174,1,0)),"",VLOOKUP($A37,'liste reference'!$B$6:$B$1174,1,0)),VLOOKUP($A37,'liste reference'!$A$6:$B$1174,2,0))</f>
        <v>Veronica anagallis-aquatica</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PHe</v>
      </c>
      <c r="H37" s="525" t="n">
        <f aca="false">IF(A37="","x",IF(ISERROR(VLOOKUP($A37,'liste reference'!$A$6:$Q$1174,10,0)),IF(ISERROR(VLOOKUP($A37,'liste reference'!$B$6:$Q$1174,9,0)),"x",VLOOKUP($A37,'liste reference'!$B$6:$Q$1174,9,0)),VLOOKUP($A37,'liste reference'!$A$6:$Q$1174,10,0)))</f>
        <v>8</v>
      </c>
      <c r="I37" s="309" t="n">
        <f aca="false">IF(A37="","",1)</f>
        <v>1</v>
      </c>
      <c r="J37" s="526" t="n">
        <f aca="false">IF(ISNUMBER($H37),IF(ISERROR(VLOOKUP($A37,'liste reference'!$A$6:$Q$1174,6,0)),IF(ISERROR(VLOOKUP($A37,'liste reference'!$B$6:$Q$1174,5,0)),"nu",VLOOKUP($A37,'liste reference'!$B$6:$Q$1174,5,0)),VLOOKUP($A37,'liste reference'!$A$6:$Q$1174,6,0)),"nu")</f>
        <v>11</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Veronica anagallis-aquatica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1955</v>
      </c>
      <c r="R37" s="513" t="n">
        <f aca="false">IF(ISTEXT(H37),"",(B37*$B$7/100)+(C37*$C$7/100))</f>
        <v>0.005</v>
      </c>
      <c r="S37" s="514" t="n">
        <f aca="false">IF(OR(ISTEXT(H37),R37=0),"",IF(R37&lt;0.1,1,IF(R37&lt;1,2,IF(R37&lt;10,3,IF(R37&lt;50,4,IF(R37&gt;=50,5,""))))))</f>
        <v>1</v>
      </c>
      <c r="T37" s="514" t="n">
        <f aca="false">IF(ISERROR(S37*J37),0,S37*J37)</f>
        <v>11</v>
      </c>
      <c r="U37" s="514" t="n">
        <f aca="false">IF(ISERROR(S37*J37*K37),0,S37*J37*K37)</f>
        <v>22</v>
      </c>
      <c r="V37" s="530" t="n">
        <f aca="false">IF(ISERROR(S37*K37),0,S37*K37)</f>
        <v>2</v>
      </c>
      <c r="W37" s="531"/>
      <c r="X37" s="532"/>
      <c r="Y37" s="517" t="str">
        <f aca="false">IF(AND(ISNUMBER(F37),OR(A37="",A37="!!!!!!")),"!!!!!!",IF(A37="new.cod","NEWCOD",IF(AND((Z37=""),ISTEXT(A37),A37&lt;&gt;"!!!!!!"),A37,IF(Z37="","",INDEX('liste reference'!$A$6:$A$1174,Z37)))))</f>
        <v>VERANA</v>
      </c>
      <c r="Z37" s="499" t="n">
        <f aca="false">IF(ISERROR(MATCH(A37,'liste reference'!$A$6:$A$1174,0)),IF(ISERROR(MATCH(A37,'liste reference'!$B$6:$B$1174,0)),"",(MATCH(A37,'liste reference'!$B$6:$B$1174,0))),(MATCH(A37,'liste reference'!$A$6:$A$1174,0)))</f>
        <v>740</v>
      </c>
    </row>
    <row r="38" customFormat="false" ht="12.75" hidden="false" customHeight="false" outlineLevel="0" collapsed="false">
      <c r="A38" s="518" t="s">
        <v>2886</v>
      </c>
      <c r="B38" s="519" t="n">
        <v>0.01</v>
      </c>
      <c r="C38" s="520"/>
      <c r="D38" s="521" t="str">
        <f aca="false">IF(ISERROR(VLOOKUP($A38,'liste reference'!$A$6:$B$1174,2,0)),IF(ISERROR(VLOOKUP($A38,'liste reference'!$B$6:$B$1174,1,0)),"",VLOOKUP($A38,'liste reference'!$B$6:$B$1174,1,0)),VLOOKUP($A38,'liste reference'!$A$6:$B$1174,2,0))</f>
        <v>Solanum dulcamara</v>
      </c>
      <c r="E38" s="522" t="e">
        <f aca="false">IF(D38="",0,VLOOKUP(D38,D$22:D37,1,0))</f>
        <v>#N/A</v>
      </c>
      <c r="F38" s="523" t="n">
        <f aca="false">IF(AND(OR(A38="",A38="!!!!!!"),B38="",C38=""),"",IF(OR(AND(B38="",C38=""),ISERROR(C38+B38)),"!!!",($B38*$B$7+$C38*$C$7)/100))</f>
        <v>0.0058</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Solanum dulcamara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1964</v>
      </c>
      <c r="R38" s="513" t="n">
        <f aca="false">IF(ISTEXT(H38),"",(B38*$B$7/100)+(C38*$C$7/100))</f>
        <v>0.0058</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SOADUL</v>
      </c>
      <c r="Z38" s="499" t="n">
        <f aca="false">IF(ISERROR(MATCH(A38,'liste reference'!$A$6:$A$1174,0)),IF(ISERROR(MATCH(A38,'liste reference'!$B$6:$B$1174,0)),"",(MATCH(A38,'liste reference'!$B$6:$B$1174,0))),(MATCH(A38,'liste reference'!$A$6:$A$1174,0)))</f>
        <v>969</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33"/>
      <c r="N39" s="533"/>
      <c r="O39" s="533"/>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5.5676</v>
      </c>
      <c r="G83" s="452"/>
      <c r="H83" s="452"/>
      <c r="I83" s="452"/>
      <c r="J83" s="452"/>
      <c r="K83" s="452"/>
      <c r="L83" s="452"/>
      <c r="M83" s="514"/>
      <c r="N83" s="514"/>
      <c r="O83" s="514"/>
      <c r="P83" s="514"/>
      <c r="Q83" s="514"/>
      <c r="R83" s="514"/>
      <c r="S83" s="514"/>
      <c r="T83" s="514"/>
      <c r="U83" s="514"/>
      <c r="V83" s="514" t="n">
        <f aca="false">SUM(V23:V82)</f>
        <v>32</v>
      </c>
      <c r="W83" s="514"/>
      <c r="X83" s="552"/>
      <c r="Y83" s="552"/>
      <c r="Z83" s="553"/>
    </row>
    <row r="84" customFormat="false" ht="12.75" hidden="true" customHeight="false" outlineLevel="0" collapsed="false">
      <c r="A84" s="547" t="str">
        <f aca="false">A3</f>
        <v>REGINO</v>
      </c>
      <c r="B84" s="481" t="str">
        <f aca="false">C3</f>
        <v>Occhiatana</v>
      </c>
      <c r="C84" s="554" t="str">
        <f aca="false">A4</f>
        <v>(Date)</v>
      </c>
      <c r="D84" s="555" t="n">
        <f aca="false">IF(OR(ISERROR(SUM($U$23:$U$82)/SUM($V$23:$V$82)),F7&lt;&gt;100),-1,SUM($U$23:$U$82)/SUM($V$23:$V$82))</f>
        <v>11.78125</v>
      </c>
      <c r="E84" s="556" t="n">
        <f aca="false">O13</f>
        <v>16</v>
      </c>
      <c r="F84" s="481" t="n">
        <f aca="false">O14</f>
        <v>14</v>
      </c>
      <c r="G84" s="481" t="n">
        <f aca="false">O15</f>
        <v>6</v>
      </c>
      <c r="H84" s="481" t="n">
        <f aca="false">O16</f>
        <v>8</v>
      </c>
      <c r="I84" s="481" t="n">
        <f aca="false">O17</f>
        <v>0</v>
      </c>
      <c r="J84" s="557" t="n">
        <f aca="false">O8</f>
        <v>11.8571428571429</v>
      </c>
      <c r="K84" s="558" t="n">
        <f aca="false">O9</f>
        <v>2.74791200881019</v>
      </c>
      <c r="L84" s="559" t="n">
        <f aca="false">O10</f>
        <v>5</v>
      </c>
      <c r="M84" s="559" t="n">
        <f aca="false">O11</f>
        <v>16</v>
      </c>
      <c r="N84" s="558" t="n">
        <f aca="false">P8</f>
        <v>1.57142857142857</v>
      </c>
      <c r="O84" s="558" t="n">
        <f aca="false">P9</f>
        <v>0.494871659305394</v>
      </c>
      <c r="P84" s="559" t="n">
        <f aca="false">P10</f>
        <v>1</v>
      </c>
      <c r="Q84" s="559" t="n">
        <f aca="false">P11</f>
        <v>2</v>
      </c>
      <c r="R84" s="559" t="n">
        <f aca="false">F21</f>
        <v>5.5676</v>
      </c>
      <c r="S84" s="559" t="n">
        <f aca="false">L11</f>
        <v>0</v>
      </c>
      <c r="T84" s="559" t="n">
        <f aca="false">L12</f>
        <v>3</v>
      </c>
      <c r="U84" s="559" t="n">
        <f aca="false">L13</f>
        <v>5</v>
      </c>
      <c r="V84" s="560" t="n">
        <f aca="false">L15</f>
        <v>8</v>
      </c>
      <c r="W84" s="561" t="n">
        <f aca="false">L15</f>
        <v>8</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45</v>
      </c>
      <c r="U87" s="309"/>
      <c r="V87" s="309"/>
    </row>
    <row r="88" customFormat="false" ht="12.75" hidden="true" customHeight="false" outlineLevel="0" collapsed="false">
      <c r="C88" s="563"/>
      <c r="D88" s="563"/>
      <c r="E88" s="563"/>
      <c r="R88" s="309" t="s">
        <v>3445</v>
      </c>
      <c r="S88" s="309"/>
      <c r="T88" s="565" t="n">
        <f aca="false">VLOOKUP($T$91,($A$23:$U$82),21,FALSE())</f>
        <v>90</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11.0384615384615</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3462</v>
      </c>
      <c r="B1" s="570"/>
      <c r="C1" s="570"/>
      <c r="D1" s="570"/>
      <c r="E1" s="571" t="s">
        <v>3463</v>
      </c>
      <c r="F1" s="572" t="s">
        <v>3464</v>
      </c>
      <c r="G1" s="573"/>
      <c r="H1" s="573"/>
      <c r="I1" s="574"/>
      <c r="J1" s="574"/>
      <c r="K1" s="574"/>
      <c r="L1" s="575"/>
    </row>
    <row r="2" customFormat="false" ht="15" hidden="false" customHeight="false" outlineLevel="0" collapsed="false">
      <c r="A2" s="576" t="s">
        <v>3465</v>
      </c>
      <c r="B2" s="577"/>
      <c r="C2" s="578"/>
      <c r="D2" s="578"/>
      <c r="E2" s="579"/>
      <c r="F2" s="572" t="s">
        <v>3466</v>
      </c>
      <c r="G2" s="573"/>
      <c r="H2" s="573"/>
      <c r="I2" s="574"/>
      <c r="J2" s="574"/>
      <c r="K2" s="574"/>
      <c r="L2" s="575"/>
    </row>
    <row r="3" customFormat="false" ht="15.75" hidden="false" customHeight="false" outlineLevel="0" collapsed="false">
      <c r="A3" s="576" t="s">
        <v>3467</v>
      </c>
      <c r="B3" s="577"/>
      <c r="C3" s="578"/>
      <c r="D3" s="580" t="s">
        <v>3468</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3469</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3470</v>
      </c>
      <c r="B9" s="595" t="s">
        <v>3470</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3471</v>
      </c>
      <c r="G17" s="600"/>
      <c r="H17" s="601" t="s">
        <v>3472</v>
      </c>
      <c r="I17" s="600"/>
    </row>
    <row r="18" customFormat="false" ht="15" hidden="false" customHeight="false" outlineLevel="0" collapsed="false">
      <c r="A18" s="594" t="s">
        <v>2960</v>
      </c>
      <c r="B18" s="596" t="s">
        <v>2961</v>
      </c>
      <c r="C18" s="597"/>
      <c r="D18" s="598"/>
      <c r="F18" s="602" t="s">
        <v>3473</v>
      </c>
      <c r="G18" s="603"/>
      <c r="H18" s="602" t="s">
        <v>3473</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3474</v>
      </c>
      <c r="G20" s="8"/>
      <c r="H20" s="605" t="s">
        <v>3474</v>
      </c>
      <c r="I20" s="606"/>
    </row>
    <row r="21" customFormat="false" ht="15" hidden="false" customHeight="false" outlineLevel="0" collapsed="false">
      <c r="A21" s="594" t="s">
        <v>2315</v>
      </c>
      <c r="B21" s="596" t="s">
        <v>2316</v>
      </c>
      <c r="C21" s="597"/>
      <c r="D21" s="598"/>
      <c r="F21" s="605" t="s">
        <v>3475</v>
      </c>
      <c r="G21" s="8"/>
      <c r="H21" s="605" t="s">
        <v>3475</v>
      </c>
      <c r="I21" s="606"/>
    </row>
    <row r="22" customFormat="false" ht="15" hidden="false" customHeight="false" outlineLevel="0" collapsed="false">
      <c r="A22" s="594" t="s">
        <v>2968</v>
      </c>
      <c r="B22" s="596" t="s">
        <v>2969</v>
      </c>
      <c r="C22" s="597"/>
      <c r="D22" s="598"/>
      <c r="F22" s="605" t="s">
        <v>3476</v>
      </c>
      <c r="G22" s="8"/>
      <c r="H22" s="605" t="s">
        <v>3476</v>
      </c>
      <c r="I22" s="606"/>
    </row>
    <row r="23" customFormat="false" ht="15" hidden="false" customHeight="false" outlineLevel="0" collapsed="false">
      <c r="A23" s="594" t="s">
        <v>1930</v>
      </c>
      <c r="B23" s="596" t="s">
        <v>1931</v>
      </c>
      <c r="C23" s="597"/>
      <c r="D23" s="598"/>
      <c r="F23" s="605" t="s">
        <v>3477</v>
      </c>
      <c r="G23" s="8"/>
      <c r="H23" s="605" t="s">
        <v>3477</v>
      </c>
      <c r="I23" s="606"/>
    </row>
    <row r="24" customFormat="false" ht="15" hidden="false" customHeight="false" outlineLevel="0" collapsed="false">
      <c r="A24" s="594" t="s">
        <v>2970</v>
      </c>
      <c r="B24" s="596" t="s">
        <v>2971</v>
      </c>
      <c r="C24" s="597"/>
      <c r="D24" s="598"/>
      <c r="F24" s="605" t="s">
        <v>3478</v>
      </c>
      <c r="G24" s="8"/>
      <c r="H24" s="605" t="s">
        <v>3478</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2016-04-13T14:36:32Z</dcterms:modified>
  <cp:revision>0</cp:revision>
  <dc:subject/>
  <dc:title>Feuille d'aide au calcul de l'IBMR</dc:title>
</cp:coreProperties>
</file>