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Gapeau à Belgentier" sheetId="7" state="visible" r:id="rId9"/>
    <sheet name="liste codes réf" sheetId="8" state="hidden" r:id="rId10"/>
  </sheets>
  <definedNames>
    <definedName function="false" hidden="false" localSheetId="6" name="_xlnm.Print_Area" vbProcedure="false">'Gapeau à Belgentier'!$A$1:$Q$82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'Gapeau à Belgentier'!$A$1:$C$1415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<sst xmlns="http://schemas.openxmlformats.org/spreadsheetml/2006/main" count="9991" uniqueCount="3493">
  <si>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</si>
  <si>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</si>
  <si>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</si>
  <si>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</si>
  <si>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</si>
  <si>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</si>
  <si>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</si>
  <si>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</si>
  <si>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</si>
  <si>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</si>
  <si>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</si>
  <si>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</si>
  <si>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</si>
  <si>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</si>
  <si>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</si>
  <si>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</si>
  <si>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</si>
  <si>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</si>
  <si>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</si>
  <si>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</si>
  <si>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</si>
  <si>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</si>
  <si>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</si>
  <si>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</si>
  <si>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</si>
  <si>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</si>
  <si>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</si>
  <si>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</si>
  <si>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</si>
  <si>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</si>
  <si>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</si>
  <si>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</si>
  <si>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</si>
  <si>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</si>
  <si>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</si>
  <si>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</si>
  <si>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</si>
  <si>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</si>
  <si>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</si>
  <si>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</si>
  <si>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</si>
  <si>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</si>
  <si>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</si>
  <si>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</si>
  <si>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</si>
  <si>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</si>
  <si>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</si>
  <si>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</si>
  <si>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</si>
  <si>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</si>
  <si>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</si>
  <si>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</si>
  <si>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</si>
  <si>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</si>
  <si>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</si>
  <si>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</si>
  <si>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</si>
  <si>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</si>
  <si>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</si>
  <si>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</si>
  <si>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</si>
  <si>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</si>
  <si>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</si>
  <si>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</si>
  <si>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</si>
  <si>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</si>
  <si>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</si>
  <si>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</si>
  <si>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</si>
  <si>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</si>
  <si>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</si>
  <si>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</si>
  <si>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</si>
  <si>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</si>
  <si>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</si>
  <si>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</si>
  <si>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</si>
  <si>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</si>
  <si>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</si>
  <si>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</si>
  <si>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</si>
  <si>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</si>
  <si>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</si>
  <si>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</si>
  <si>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</si>
  <si>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</si>
  <si>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</si>
  <si>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</si>
  <si>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</si>
  <si>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</si>
  <si>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</si>
  <si>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</si>
  <si>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</si>
  <si>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</si>
  <si>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</si>
  <si>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</si>
  <si>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</si>
  <si>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</si>
  <si>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</si>
  <si>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</si>
  <si>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</si>
  <si>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</si>
  <si>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</si>
  <si>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</si>
  <si>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</si>
  <si>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</si>
  <si>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</si>
  <si>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</si>
  <si>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</si>
  <si>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</si>
  <si>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</si>
  <si>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</si>
  <si>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</si>
  <si>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</si>
  <si>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</si>
  <si>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</si>
  <si>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</si>
  <si>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</si>
  <si>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</si>
  <si>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</si>
  <si>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</si>
  <si>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</si>
  <si>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</si>
  <si>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</si>
  <si>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</si>
  <si>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</si>
  <si>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</si>
  <si>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</si>
  <si>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</si>
  <si>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</si>
  <si>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</si>
  <si>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</si>
  <si>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</si>
  <si>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</si>
  <si>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</si>
  <si>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</si>
  <si>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</si>
  <si>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</si>
  <si>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</si>
  <si>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</si>
  <si>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</si>
  <si>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</si>
  <si>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</si>
  <si>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</si>
  <si>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</si>
  <si>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</si>
  <si>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</si>
  <si>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</si>
  <si>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</si>
  <si>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</si>
  <si>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</si>
  <si>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</si>
  <si>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</si>
  <si>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</si>
  <si>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</si>
  <si>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</si>
  <si>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</si>
  <si>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</si>
  <si>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</si>
  <si>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</si>
  <si>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</si>
  <si>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</si>
  <si>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</si>
  <si>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</si>
  <si>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</si>
  <si>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</si>
  <si>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</si>
  <si>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</si>
  <si>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</si>
  <si>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</si>
  <si>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</si>
  <si>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</si>
  <si>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</si>
  <si>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</si>
  <si>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</si>
  <si>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</si>
  <si>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</si>
  <si>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</si>
  <si>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</si>
  <si>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</si>
  <si>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</si>
  <si>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</si>
  <si>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</si>
  <si>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</si>
  <si>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</si>
  <si>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</si>
  <si>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</si>
  <si>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</si>
  <si>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</si>
  <si>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</si>
  <si>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</si>
  <si>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</si>
  <si>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</si>
  <si>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</si>
  <si>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</si>
  <si>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</si>
  <si>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</si>
  <si>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</si>
  <si>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</si>
  <si>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</si>
  <si>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</si>
  <si>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</si>
  <si>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</si>
  <si>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</si>
  <si>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</si>
  <si>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</si>
  <si>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</si>
  <si>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</si>
  <si>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</si>
  <si>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</si>
  <si>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</si>
  <si>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</si>
  <si>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</si>
  <si>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</si>
  <si>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</si>
  <si>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</si>
  <si>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</si>
  <si>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</si>
  <si>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</si>
  <si>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</si>
  <si>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</si>
  <si>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</si>
  <si>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</si>
  <si>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</si>
  <si>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</si>
  <si>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</si>
  <si>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</si>
  <si>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</si>
  <si>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</si>
  <si>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</si>
  <si>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</si>
  <si>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</si>
  <si>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</si>
  <si>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</si>
  <si>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</si>
  <si>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</si>
  <si>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</si>
  <si>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</si>
  <si>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</si>
  <si>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</si>
  <si>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</si>
  <si>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</si>
  <si>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</si>
  <si>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</si>
  <si>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</si>
  <si>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</si>
  <si>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</si>
  <si>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</si>
  <si>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</si>
  <si>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</si>
  <si>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</si>
  <si>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</si>
  <si>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</si>
  <si>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</si>
  <si>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</si>
  <si>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</si>
  <si>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</si>
  <si>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</si>
  <si>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</si>
  <si>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</si>
  <si>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</si>
  <si>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</si>
  <si>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</si>
  <si>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</si>
  <si>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</si>
  <si>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</si>
  <si>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</si>
  <si>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</si>
  <si>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</si>
  <si>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</si>
  <si>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</si>
  <si>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</si>
  <si>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</si>
  <si>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</si>
  <si>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</si>
  <si>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</si>
  <si>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</si>
  <si>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</si>
  <si>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</si>
  <si>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</si>
  <si>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</si>
  <si>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</si>
  <si>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</si>
  <si>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</si>
  <si>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</si>
  <si>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</si>
  <si>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</si>
  <si>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</si>
  <si>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</si>
  <si>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</si>
  <si>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</si>
  <si>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</si>
  <si>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</si>
  <si>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</si>
  <si>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</si>
  <si>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</si>
  <si>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</si>
  <si>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</si>
  <si>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</si>
  <si>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</si>
  <si>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</si>
  <si>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</si>
  <si>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</si>
  <si>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</si>
  <si>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</si>
  <si>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</si>
  <si>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</si>
  <si>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</si>
  <si>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</si>
  <si>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</si>
  <si>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</si>
  <si>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</si>
  <si>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</si>
  <si>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</si>
  <si>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</si>
  <si>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</si>
  <si>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</si>
  <si>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</si>
  <si>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</si>
  <si>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</si>
  <si>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</si>
  <si>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</si>
  <si>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</si>
  <si>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</si>
  <si>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</si>
  <si>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</si>
  <si>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</si>
  <si>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</si>
  <si>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</si>
  <si>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</si>
  <si>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</si>
  <si>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</si>
  <si>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</si>
  <si>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</si>
  <si>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</si>
  <si>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</si>
  <si>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</si>
  <si>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</si>
  <si>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</si>
  <si>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</si>
  <si>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</si>
  <si>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</si>
  <si>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</si>
  <si>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</si>
  <si>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</si>
  <si>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</si>
  <si>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</si>
  <si>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</si>
  <si>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</si>
  <si>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</si>
  <si>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</si>
  <si>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</si>
  <si>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</si>
  <si>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</si>
  <si>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</si>
  <si>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</si>
  <si>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</si>
  <si>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</si>
  <si>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</si>
  <si>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</si>
  <si>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</si>
  <si>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</si>
  <si>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</si>
  <si>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</si>
  <si>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</si>
  <si>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</si>
  <si>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</si>
  <si>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</si>
  <si>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</si>
  <si>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</si>
  <si>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</si>
  <si>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</si>
  <si>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</si>
  <si>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</si>
  <si>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</si>
  <si>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</si>
  <si>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</si>
  <si>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</si>
  <si>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</si>
  <si>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</si>
  <si>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</si>
  <si>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</si>
  <si>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</si>
  <si>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</si>
  <si>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</si>
  <si>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</si>
  <si>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</si>
  <si>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</si>
  <si>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</si>
  <si>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</si>
  <si>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</si>
  <si>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</si>
  <si>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</si>
  <si>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</si>
  <si>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</si>
  <si>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</si>
  <si>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</si>
  <si>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</si>
  <si>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</si>
  <si>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</si>
  <si>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</si>
  <si>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</si>
  <si>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</si>
  <si>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</si>
  <si>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</si>
  <si>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</si>
  <si>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</si>
  <si>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</si>
  <si>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</si>
  <si>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</si>
  <si>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</si>
  <si>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</si>
  <si>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</si>
  <si>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</si>
  <si>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</si>
  <si>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</si>
  <si>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</si>
  <si>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</si>
  <si>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</si>
  <si>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</si>
  <si>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</si>
  <si>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</si>
  <si>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</si>
  <si>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</si>
  <si>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</si>
  <si>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</si>
  <si>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</si>
  <si>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</si>
  <si>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</si>
  <si>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</si>
  <si>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</si>
  <si>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</si>
  <si>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</si>
  <si>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</si>
  <si>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</si>
  <si>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</si>
  <si>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</si>
  <si>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</si>
  <si>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</si>
  <si>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</si>
  <si>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</si>
  <si>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</si>
  <si>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</si>
  <si>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</si>
  <si>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</si>
  <si>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</si>
  <si>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</si>
  <si>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</si>
  <si>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</si>
  <si>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</si>
  <si>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</si>
  <si>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</si>
  <si>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</si>
  <si>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</si>
  <si>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</si>
  <si>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</si>
  <si>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</si>
  <si>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</si>
  <si>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</si>
  <si>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</si>
  <si>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</si>
  <si>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</si>
  <si>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</si>
  <si>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</si>
  <si>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</si>
  <si>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</si>
  <si>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</si>
  <si>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</si>
  <si>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</si>
  <si>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</si>
  <si>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</si>
  <si>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</si>
  <si>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</si>
  <si>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</si>
  <si>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</si>
  <si>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</si>
  <si>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</si>
  <si>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</si>
  <si>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</si>
  <si>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</si>
  <si>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</si>
  <si>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</si>
  <si>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</si>
  <si>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</si>
  <si>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</si>
  <si>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</si>
  <si>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</si>
  <si>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</si>
  <si>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</si>
  <si>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</si>
  <si>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</si>
  <si>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</si>
  <si>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</si>
  <si>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</si>
  <si>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</si>
  <si>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</si>
  <si>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</si>
  <si>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</si>
  <si>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</si>
  <si>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</si>
  <si>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</si>
  <si>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</si>
  <si>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</si>
  <si>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</si>
  <si>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</si>
  <si>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</si>
  <si>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</si>
  <si>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</si>
  <si>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</si>
  <si>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</si>
  <si>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</si>
  <si>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</si>
  <si>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</si>
  <si>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</si>
  <si>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</si>
  <si>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</si>
  <si>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</si>
  <si>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</si>
  <si>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</si>
  <si>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</si>
  <si>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</si>
  <si>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</si>
  <si>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</si>
  <si>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</si>
  <si>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</si>
  <si>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</si>
  <si>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</si>
  <si>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</si>
  <si>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</si>
  <si>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</si>
  <si>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</si>
  <si>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</si>
  <si>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</si>
  <si>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</si>
  <si>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</si>
  <si>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</si>
  <si>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</si>
  <si>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</si>
  <si>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</si>
  <si>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</si>
  <si>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</si>
  <si>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</si>
  <si>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</si>
  <si>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</si>
  <si>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</si>
  <si>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</si>
  <si>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</si>
  <si>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</si>
  <si>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</si>
  <si>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</si>
  <si>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</si>
  <si>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</si>
  <si>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</si>
  <si>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</si>
  <si>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</si>
  <si>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</si>
  <si>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</si>
  <si>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</si>
  <si>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</si>
  <si>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</si>
  <si>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</si>
  <si>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</si>
  <si>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</si>
  <si>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</si>
  <si>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</si>
  <si>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</si>
  <si>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</si>
  <si>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</si>
  <si>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</si>
  <si>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</si>
  <si>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</si>
  <si>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</si>
  <si>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</si>
  <si>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</si>
  <si>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</si>
  <si>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</si>
  <si>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</si>
  <si>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</si>
  <si>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</si>
  <si>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</si>
  <si>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</si>
  <si>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</si>
  <si>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</si>
  <si>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</si>
  <si>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</si>
  <si>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</si>
  <si>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</si>
  <si>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</si>
  <si>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</si>
  <si>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</si>
  <si>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</si>
  <si>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</si>
  <si>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</si>
  <si>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</si>
  <si>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</si>
  <si>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</si>
  <si>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</si>
  <si>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</si>
  <si>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</si>
  <si>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</si>
  <si>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</si>
  <si>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</si>
  <si>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</si>
  <si>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</si>
  <si>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</si>
  <si>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</si>
  <si>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</si>
  <si>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</si>
  <si>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</si>
  <si>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</si>
  <si>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</si>
  <si>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</si>
  <si>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</si>
  <si>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</si>
  <si>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</si>
  <si>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</si>
  <si>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</si>
  <si>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</si>
  <si>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</si>
  <si>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</si>
  <si>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</si>
  <si>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</si>
  <si>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</si>
  <si>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</si>
  <si>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</si>
  <si>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</si>
  <si>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</si>
  <si>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</si>
  <si>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</si>
  <si>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</si>
  <si>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</si>
  <si>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</si>
  <si>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</si>
  <si>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</si>
  <si>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</si>
  <si>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</si>
  <si>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</si>
  <si>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</si>
  <si>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</si>
  <si>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</si>
  <si>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</si>
  <si>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</si>
  <si>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</si>
  <si>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</si>
  <si>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</si>
  <si>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</si>
  <si>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</si>
  <si>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</si>
  <si>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</si>
  <si>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</si>
  <si>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</si>
  <si>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</si>
  <si>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</si>
  <si>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</si>
  <si>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</si>
  <si>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</si>
  <si>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</si>
  <si>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</si>
  <si>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</si>
  <si>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</si>
  <si>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</si>
  <si>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</si>
  <si>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</si>
  <si>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</si>
  <si>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</si>
  <si>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</si>
  <si>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</si>
  <si>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</si>
  <si>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</si>
  <si>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</si>
  <si>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</si>
  <si>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</si>
  <si>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</si>
  <si>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</si>
  <si>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</si>
  <si>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</si>
  <si>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</si>
  <si>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</si>
  <si>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</si>
  <si>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</si>
  <si>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</si>
  <si>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</si>
  <si>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</si>
  <si>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</si>
  <si>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</si>
  <si>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</si>
  <si>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</si>
  <si>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</si>
  <si>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</si>
  <si>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</si>
  <si>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</si>
  <si>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</si>
  <si>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</si>
  <si>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</si>
  <si>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</si>
  <si>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</si>
  <si>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</si>
  <si>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</si>
  <si>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</si>
  <si>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</si>
  <si>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</si>
  <si>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</si>
  <si>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</si>
  <si>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</si>
  <si>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</si>
  <si>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</si>
  <si>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</si>
  <si>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</si>
  <si>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</si>
  <si>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</si>
  <si>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</si>
  <si>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</si>
  <si>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</si>
  <si>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</si>
  <si>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</si>
  <si>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</si>
  <si>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</si>
  <si>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</si>
  <si>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</si>
  <si>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</si>
  <si>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</si>
  <si>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</si>
  <si>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</si>
  <si>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</si>
  <si>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</si>
  <si>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</si>
  <si>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</si>
  <si>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</si>
  <si>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</si>
  <si>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</si>
  <si>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</si>
  <si>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</si>
  <si>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</si>
  <si>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</si>
  <si>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</si>
  <si>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</si>
  <si>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</si>
  <si>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</si>
  <si>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</si>
  <si>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</si>
  <si>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</si>
  <si>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</si>
  <si>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</si>
  <si>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</si>
  <si>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</si>
  <si>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</si>
  <si>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</si>
  <si>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</si>
  <si>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</si>
  <si>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</si>
  <si>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</si>
  <si>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</si>
  <si>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</si>
  <si>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</si>
  <si>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</si>
  <si>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</si>
  <si>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</si>
  <si>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</si>
  <si>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</si>
  <si>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</si>
  <si>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</si>
  <si>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</si>
  <si>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</si>
  <si>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</si>
  <si>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</si>
  <si>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</si>
  <si>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</si>
  <si>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</si>
  <si>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</si>
  <si>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</si>
  <si>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</si>
  <si>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</si>
  <si>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</si>
  <si>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</si>
  <si>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</si>
  <si>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</si>
  <si>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</si>
  <si>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</si>
  <si>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</si>
  <si>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</si>
  <si>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</si>
  <si>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</si>
  <si>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</si>
  <si>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</si>
  <si>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</si>
  <si>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</si>
  <si>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</si>
  <si>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</si>
  <si>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</si>
  <si>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</si>
  <si>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</si>
  <si>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</si>
  <si>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</si>
  <si>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</si>
  <si>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</si>
  <si>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</si>
  <si>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</si>
  <si>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</si>
  <si>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</si>
  <si>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</si>
  <si>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</si>
  <si>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</si>
  <si>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</si>
  <si>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</si>
  <si>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</si>
  <si>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</si>
  <si>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</si>
  <si>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</si>
  <si>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</si>
  <si>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</si>
  <si>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</si>
  <si>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</si>
  <si>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</si>
  <si>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</si>
  <si>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</si>
  <si>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</si>
  <si>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</si>
  <si>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</si>
  <si>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</si>
  <si>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</si>
  <si>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</si>
  <si>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</si>
  <si>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</si>
  <si>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</si>
  <si>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</si>
  <si>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</si>
  <si>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</si>
  <si>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</si>
  <si>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</si>
  <si>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</si>
  <si>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</si>
  <si>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</si>
  <si>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</si>
  <si>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</si>
  <si>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</si>
  <si>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</si>
  <si>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</si>
  <si>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</si>
  <si>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</si>
  <si>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</si>
  <si>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</si>
  <si>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</si>
  <si>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</si>
  <si>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</si>
  <si>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</si>
  <si>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</si>
  <si>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</si>
  <si>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</si>
  <si>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</si>
  <si>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</si>
  <si>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</si>
  <si>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</si>
  <si>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</si>
  <si>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</si>
  <si>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</si>
  <si>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</si>
  <si>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</si>
  <si>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</si>
  <si>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</si>
  <si>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</si>
  <si>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</si>
  <si>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</si>
  <si>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</si>
  <si>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</si>
  <si>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</si>
  <si>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</si>
  <si>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</si>
  <si>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</si>
  <si>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</si>
  <si>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</si>
  <si>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</si>
  <si>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</si>
  <si>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</si>
  <si>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</si>
  <si>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</si>
  <si>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</si>
  <si>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</si>
  <si>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</si>
  <si>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</si>
  <si>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</si>
  <si>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</si>
  <si>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</si>
  <si>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</si>
  <si>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</si>
  <si>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</si>
  <si>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</si>
  <si>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</si>
  <si>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</si>
  <si>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</si>
  <si>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</si>
  <si>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</si>
  <si>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</si>
  <si>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</si>
  <si>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</si>
  <si>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</si>
  <si>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</si>
  <si>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</si>
  <si>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</si>
  <si>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</si>
  <si>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</si>
  <si>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</si>
  <si>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</si>
  <si>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</si>
  <si>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</si>
  <si>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</si>
  <si>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</si>
  <si>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</si>
  <si>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</si>
  <si>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</si>
  <si>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</si>
  <si>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</si>
  <si>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</si>
  <si>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</si>
  <si>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</si>
  <si>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</si>
  <si>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</si>
  <si>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</si>
  <si>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</si>
  <si>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</si>
  <si>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</si>
  <si>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</si>
  <si>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</si>
  <si>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</si>
  <si>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</si>
  <si>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</si>
  <si>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</si>
  <si>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</si>
  <si>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</si>
  <si>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</si>
  <si>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</si>
  <si>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</si>
  <si>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</si>
  <si>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</si>
  <si>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</si>
  <si>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</si>
  <si>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</si>
  <si>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</si>
  <si>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</si>
  <si>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</si>
  <si>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</si>
  <si>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</si>
  <si>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</si>
  <si>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</si>
  <si>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</si>
  <si>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</si>
  <si>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</si>
  <si>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</si>
  <si>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</si>
  <si>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</si>
  <si>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</si>
  <si>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</si>
  <si>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</si>
  <si>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</si>
  <si>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</si>
  <si>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</si>
  <si>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</si>
  <si>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</si>
  <si>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</si>
  <si>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</si>
  <si>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</si>
  <si>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</si>
  <si>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</si>
  <si>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</si>
  <si>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</si>
  <si>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</si>
  <si>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</si>
  <si>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</si>
  <si>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</si>
  <si>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</si>
  <si>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</si>
  <si>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</si>
  <si>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</si>
  <si>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</si>
  <si>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</si>
  <si>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</si>
  <si>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</si>
  <si>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</si>
  <si>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</si>
  <si>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</si>
  <si>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</si>
  <si>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</si>
  <si>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</si>
  <si>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</si>
  <si>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</si>
  <si>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</si>
  <si>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</si>
  <si>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</si>
  <si>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</si>
  <si>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</si>
  <si>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</si>
  <si>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</si>
  <si>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</si>
  <si>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</si>
  <si>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</si>
  <si>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</si>
  <si>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</si>
  <si>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</si>
  <si>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</si>
  <si>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</si>
  <si>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</si>
  <si>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</si>
  <si>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</si>
  <si>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</si>
  <si>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</si>
  <si>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</si>
  <si>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</si>
  <si>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</si>
  <si>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</si>
  <si>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</si>
  <si>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</si>
  <si>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</si>
  <si>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</si>
  <si>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</si>
  <si>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</si>
  <si>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</si>
  <si>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</si>
  <si>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</si>
  <si>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</si>
  <si>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</si>
  <si>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</si>
  <si>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</si>
  <si>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</si>
  <si>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</si>
  <si>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</si>
  <si>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</si>
  <si>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</si>
  <si>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</si>
  <si>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</si>
  <si>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</si>
  <si>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</si>
  <si>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</si>
  <si>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</si>
  <si>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</si>
  <si>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</si>
  <si>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</si>
  <si>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</si>
  <si>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</si>
  <si>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</si>
  <si>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</si>
  <si>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</si>
  <si>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</si>
  <si>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</si>
  <si>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</si>
  <si>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</si>
  <si>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</si>
  <si>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</si>
  <si>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</si>
  <si>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</si>
  <si>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</si>
  <si>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</si>
  <si>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</si>
  <si>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</si>
  <si>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</si>
  <si>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</si>
  <si>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</si>
  <si>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</si>
  <si>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</si>
  <si>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</si>
  <si>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</si>
  <si>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</si>
  <si>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</si>
  <si>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</si>
  <si>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</si>
  <si>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</si>
  <si>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</si>
  <si>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</si>
  <si>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</si>
  <si>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</si>
  <si>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</si>
  <si>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</si>
  <si>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</si>
  <si>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</si>
  <si>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</si>
  <si>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</si>
  <si>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</si>
  <si>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</si>
  <si>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</si>
  <si>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</si>
  <si>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</si>
  <si>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</si>
  <si>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</si>
  <si>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</si>
  <si>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</si>
  <si>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</si>
  <si>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</si>
  <si>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</si>
  <si>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</si>
  <si>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</si>
  <si>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</si>
  <si>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</si>
  <si>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</si>
  <si>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</si>
  <si>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</si>
  <si>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</si>
  <si>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</si>
  <si>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</si>
  <si>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</si>
  <si>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</si>
  <si>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</si>
  <si>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</si>
  <si>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</si>
  <si>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</si>
  <si>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</si>
  <si>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</si>
  <si>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</si>
  <si>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</si>
  <si>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</si>
  <si>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</si>
  <si>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</si>
  <si>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</si>
  <si>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</si>
  <si>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</si>
  <si>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</si>
  <si>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</si>
  <si>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</si>
  <si>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</si>
  <si>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</si>
  <si>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</si>
  <si>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</si>
  <si>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</si>
  <si>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</si>
  <si>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</si>
  <si>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</si>
  <si>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</si>
  <si>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</si>
  <si>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</si>
  <si>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</si>
  <si>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</si>
  <si>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</si>
  <si>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</si>
  <si>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</si>
  <si>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</si>
  <si>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</si>
  <si>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</si>
  <si>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</si>
  <si>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</si>
  <si>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</si>
  <si>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</si>
  <si>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</si>
  <si>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</si>
  <si>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</si>
  <si>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</si>
  <si>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</si>
  <si>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</si>
  <si>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</si>
  <si>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</si>
  <si>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</si>
  <si>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</si>
  <si>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</si>
  <si>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</si>
  <si>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</si>
  <si>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</si>
  <si>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</si>
  <si>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</si>
  <si>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</si>
  <si>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</si>
  <si>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</si>
  <si>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</si>
  <si>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</si>
  <si>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</si>
  <si>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</si>
  <si>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</si>
  <si>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</si>
  <si>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</si>
  <si>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</si>
  <si>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</si>
  <si>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</si>
  <si>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</si>
  <si>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</si>
  <si>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</si>
  <si>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</si>
  <si>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</si>
  <si>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</si>
  <si>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</si>
  <si>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</si>
  <si>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</si>
  <si>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</si>
  <si>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</si>
  <si>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</si>
  <si>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</si>
  <si>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</si>
  <si>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</si>
  <si>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</si>
  <si>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</si>
  <si>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</si>
  <si>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</si>
  <si>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</si>
  <si>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</si>
  <si>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</si>
  <si>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</si>
  <si>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</si>
  <si>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</si>
  <si>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</si>
  <si>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</si>
  <si>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</si>
  <si>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</si>
  <si>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</si>
  <si>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</si>
  <si>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</si>
  <si>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</si>
  <si>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</si>
  <si>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</si>
  <si>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</si>
  <si>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</si>
  <si>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</si>
  <si>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</si>
  <si>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</si>
  <si>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</si>
  <si>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</si>
  <si>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</si>
  <si>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</si>
  <si>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</si>
  <si>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</si>
  <si>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</si>
  <si>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</si>
  <si>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</si>
  <si>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</si>
  <si>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</si>
  <si>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</si>
  <si>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</si>
  <si>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</si>
  <si>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</si>
  <si>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</si>
  <si>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</si>
  <si>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</si>
  <si>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</si>
  <si>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</si>
  <si>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</si>
  <si>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</si>
  <si>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</si>
  <si>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</si>
  <si>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</si>
  <si>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</si>
  <si>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</si>
  <si>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</si>
  <si>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</si>
  <si>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</si>
  <si>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</si>
  <si>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</si>
  <si>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</si>
  <si>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</si>
  <si>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</si>
  <si>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</si>
  <si>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</si>
  <si>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</si>
  <si>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</si>
  <si>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</si>
  <si>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</si>
  <si>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</si>
  <si>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</si>
  <si>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</si>
  <si>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</si>
  <si>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</si>
  <si>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</si>
  <si>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</si>
  <si>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</si>
  <si>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</si>
  <si>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</si>
  <si>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</si>
  <si>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</si>
  <si>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</si>
  <si>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</si>
  <si>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</si>
  <si>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</si>
  <si>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</si>
  <si>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</si>
  <si>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</si>
  <si>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</si>
  <si>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</si>
  <si>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</si>
  <si>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</si>
  <si>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</si>
  <si>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</si>
  <si>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</si>
  <si>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</si>
  <si>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</si>
  <si>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</si>
  <si>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</si>
  <si>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</si>
  <si>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</si>
  <si>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</si>
  <si>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</si>
  <si>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</si>
  <si>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</si>
  <si>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</si>
  <si>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</si>
  <si>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</si>
  <si>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</si>
  <si>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</si>
  <si>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</si>
  <si>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</si>
  <si>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</si>
  <si>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</si>
  <si>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</si>
  <si>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</si>
  <si>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</si>
  <si>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</si>
  <si>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</si>
  <si>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</si>
  <si>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</si>
  <si>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</si>
  <si>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</si>
  <si>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</si>
  <si>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</si>
  <si>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</si>
  <si>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</si>
  <si>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</si>
  <si>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</si>
  <si>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</si>
  <si>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</si>
  <si>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</si>
  <si>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</si>
  <si>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</si>
  <si>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</si>
  <si>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</si>
  <si>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</si>
  <si>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</si>
  <si>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</si>
  <si>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</si>
  <si>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</si>
  <si>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</si>
  <si>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</si>
  <si>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</si>
  <si>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</si>
  <si>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</si>
  <si>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</si>
  <si>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</si>
  <si>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</si>
  <si>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</si>
  <si>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</si>
  <si>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</si>
  <si>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</si>
  <si>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</si>
  <si>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</si>
  <si>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</si>
  <si>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</si>
  <si>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</si>
  <si>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</si>
  <si>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</si>
  <si>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</si>
  <si>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</si>
  <si>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</si>
  <si>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</si>
  <si>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</si>
  <si>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</si>
  <si>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</si>
  <si>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</si>
  <si>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</si>
  <si>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</si>
  <si>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</si>
  <si>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</si>
  <si>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</si>
  <si>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</si>
  <si>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</si>
  <si>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</si>
  <si>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</si>
  <si>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</si>
  <si>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</si>
  <si>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</si>
  <si>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</si>
  <si>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</si>
  <si>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</si>
  <si>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</si>
  <si>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</si>
  <si>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</si>
  <si>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</si>
  <si>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</si>
  <si>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</si>
  <si>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</si>
  <si>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</si>
  <si>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</si>
  <si>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</si>
  <si>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</si>
  <si>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</si>
  <si>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</si>
  <si>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</si>
  <si>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</si>
  <si>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</si>
  <si>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</si>
  <si>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</si>
  <si>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</si>
  <si>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</si>
  <si>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</si>
  <si>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</si>
  <si>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</si>
  <si>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</si>
  <si>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</si>
  <si>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</si>
  <si>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</si>
  <si>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</si>
  <si>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</si>
  <si>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</si>
  <si>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</si>
  <si>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</si>
  <si>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</si>
  <si>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</si>
  <si>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</si>
  <si>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</si>
  <si>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</si>
  <si>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</si>
  <si>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</si>
  <si>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</si>
  <si>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</si>
  <si>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</si>
  <si>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</si>
  <si>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</si>
  <si>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</si>
  <si>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</si>
  <si>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</si>
  <si>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</si>
  <si>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</si>
  <si>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</si>
  <si>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</si>
  <si>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</si>
  <si>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</si>
  <si>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</si>
  <si>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</si>
  <si>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</si>
  <si>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</si>
  <si>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</si>
  <si>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</si>
  <si>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</si>
  <si>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</si>
  <si>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</si>
  <si>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</si>
  <si>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</si>
  <si>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</si>
  <si>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</si>
  <si>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</si>
  <si>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</si>
  <si>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</si>
  <si>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</si>
  <si>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</si>
  <si>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</si>
  <si>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</si>
  <si>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</si>
  <si>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</si>
  <si>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</si>
  <si>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</si>
  <si>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</si>
  <si>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</si>
  <si>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</si>
  <si>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</si>
  <si>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</si>
  <si>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</si>
  <si>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</si>
  <si>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</si>
  <si>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</si>
  <si>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</si>
  <si>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</si>
  <si>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</si>
  <si>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</si>
  <si>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</si>
  <si>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</si>
  <si>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</si>
  <si>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</si>
  <si>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</si>
  <si>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</si>
  <si>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</si>
  <si>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</si>
  <si>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</si>
  <si>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</si>
  <si>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</si>
  <si>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</si>
  <si>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</si>
  <si>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</si>
  <si>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</si>
  <si>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</si>
  <si>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</si>
  <si>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</si>
  <si>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</si>
  <si>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</si>
  <si>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</si>
  <si>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</si>
  <si>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</si>
  <si>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</si>
  <si>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</si>
  <si>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</si>
  <si>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</si>
  <si>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</si>
  <si>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</si>
  <si>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</si>
  <si>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</si>
  <si>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</si>
  <si>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</si>
  <si>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</si>
  <si>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</si>
  <si>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</si>
  <si>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</si>
  <si>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</si>
  <si>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</si>
  <si>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</si>
  <si>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</si>
  <si>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</si>
  <si>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</si>
  <si>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</si>
  <si>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</si>
  <si>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</si>
  <si>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</si>
  <si>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</si>
  <si>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</si>
  <si>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</si>
  <si>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</si>
  <si>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</si>
  <si>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</si>
  <si>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</si>
  <si>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</si>
  <si>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</si>
  <si>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</si>
  <si>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</si>
  <si>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</si>
  <si>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</si>
  <si>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</si>
  <si>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</si>
  <si>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</si>
  <si>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</si>
  <si>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</si>
  <si>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</si>
  <si>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</si>
  <si>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</si>
  <si>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</si>
  <si>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</si>
  <si>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</si>
  <si>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</si>
  <si>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</si>
  <si>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</si>
  <si>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</si>
  <si>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</si>
  <si>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</si>
  <si>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</si>
  <si>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</si>
  <si>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</si>
  <si>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</si>
  <si>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</si>
  <si>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</si>
  <si>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</si>
  <si>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</si>
  <si>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</si>
  <si>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</si>
  <si>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</si>
  <si>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</si>
  <si>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</si>
  <si>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</si>
  <si>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</si>
  <si>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</si>
  <si>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</si>
  <si>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</si>
  <si>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</si>
  <si>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</si>
  <si>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</si>
  <si>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</si>
  <si>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</si>
  <si>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</si>
  <si>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</si>
  <si>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</si>
  <si>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</si>
  <si>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</si>
  <si>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</si>
  <si>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</si>
  <si>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</si>
  <si>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</si>
  <si>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</si>
  <si>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</si>
  <si>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</si>
  <si>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</si>
  <si>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</si>
  <si>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</si>
  <si>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</si>
  <si>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</si>
  <si>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</si>
  <si>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</si>
  <si>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</si>
  <si>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</si>
  <si>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</si>
  <si>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</si>
  <si>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</si>
  <si>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</si>
  <si>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</si>
  <si>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</si>
  <si>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</si>
  <si>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</si>
  <si>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</si>
  <si>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</si>
  <si>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</si>
  <si>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</si>
  <si>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</si>
  <si>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</si>
  <si>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</si>
  <si>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</si>
  <si>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</si>
  <si>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</si>
  <si>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</si>
  <si>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</si>
  <si>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</si>
  <si>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</si>
  <si>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</si>
  <si>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</si>
  <si>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</si>
  <si>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</si>
  <si>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</si>
  <si>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</si>
  <si>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</si>
  <si>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</si>
  <si>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</si>
  <si>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</si>
  <si>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</si>
  <si>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</si>
  <si>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</si>
  <si>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</si>
  <si>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</si>
  <si>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</si>
  <si>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</si>
  <si>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</si>
  <si>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</si>
  <si>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</si>
  <si>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</si>
  <si>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</si>
  <si>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</si>
  <si>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</si>
  <si>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</si>
  <si>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</si>
  <si>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</si>
  <si>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</si>
  <si>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</si>
  <si>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</si>
  <si>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</si>
  <si>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</si>
  <si>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</si>
  <si>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</si>
  <si>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</si>
  <si>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</si>
  <si>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</si>
  <si>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</si>
  <si>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</si>
  <si>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</si>
  <si>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</si>
  <si>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</si>
  <si>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</si>
  <si>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</si>
  <si>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</si>
  <si>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</si>
  <si>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</si>
  <si>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</si>
  <si>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</si>
  <si>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</si>
  <si>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</si>
  <si>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</si>
  <si>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</si>
  <si>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</si>
  <si>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</si>
  <si>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</si>
  <si>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</si>
  <si>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</si>
  <si>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</si>
  <si>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</si>
  <si>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</si>
  <si>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</si>
  <si>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</si>
  <si>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</si>
  <si>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</si>
  <si>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</si>
  <si>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</si>
  <si>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</si>
  <si>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</si>
  <si>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</si>
  <si>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</si>
  <si>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</si>
  <si>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</si>
  <si>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</si>
  <si>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</si>
  <si>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</si>
  <si>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</si>
  <si>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</si>
  <si>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</si>
  <si>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</si>
  <si>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</si>
  <si>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</si>
  <si>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</si>
  <si>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</si>
  <si>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</si>
  <si>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</si>
  <si>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</si>
  <si>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</si>
  <si>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</si>
  <si>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</si>
  <si>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</si>
  <si>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</si>
  <si>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</si>
  <si>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</si>
  <si>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</si>
  <si>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</si>
  <si>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</si>
  <si>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</si>
  <si>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</si>
  <si>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</si>
  <si>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</si>
  <si>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</si>
  <si>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</si>
  <si>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</si>
  <si>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</si>
  <si>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</si>
  <si>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</si>
  <si>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</si>
  <si>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</si>
  <si>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</si>
  <si>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</si>
  <si>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</si>
  <si>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</si>
  <si>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</si>
  <si>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</si>
  <si>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</si>
  <si>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</si>
  <si>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</si>
  <si>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</si>
  <si>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</si>
  <si>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</si>
  <si>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</si>
  <si>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</si>
  <si>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</si>
  <si>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</si>
  <si>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</si>
  <si>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</si>
  <si>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</si>
  <si>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</si>
  <si>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</si>
  <si>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</si>
  <si>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</si>
  <si>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</si>
  <si>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</si>
  <si>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</si>
  <si>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</si>
  <si>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</si>
  <si>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</si>
  <si>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</si>
  <si>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</si>
  <si>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</si>
  <si>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</si>
  <si>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</si>
  <si>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</si>
  <si>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</si>
  <si>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</si>
  <si>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</si>
  <si>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</si>
  <si>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</si>
  <si>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</si>
  <si>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</si>
  <si>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</si>
  <si>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</si>
  <si>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</si>
  <si>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</si>
  <si>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</si>
  <si>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</si>
  <si>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</si>
  <si>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</si>
  <si>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</si>
  <si>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</si>
  <si>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</si>
  <si>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</si>
  <si>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</si>
  <si>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</si>
  <si>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</si>
  <si>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</si>
  <si>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</si>
  <si>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</si>
  <si>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</si>
  <si>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</si>
  <si>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</si>
  <si>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</si>
  <si>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</si>
  <si>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</si>
  <si>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</si>
  <si>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</si>
  <si>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</si>
  <si>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</si>
  <si>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</si>
  <si>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</si>
  <si>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</si>
  <si>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</si>
  <si>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</si>
  <si>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</si>
  <si>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</si>
  <si>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</si>
  <si>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</si>
  <si>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</si>
  <si>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</si>
  <si>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</si>
  <si>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</si>
  <si>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</si>
  <si>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</si>
  <si>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</si>
  <si>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</si>
  <si>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</si>
  <si>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</si>
  <si>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</si>
  <si>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</si>
  <si>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</si>
  <si>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</si>
  <si>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</si>
  <si>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</si>
  <si>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</si>
  <si>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</si>
  <si>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</si>
  <si>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</si>
  <si>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</si>
  <si>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</si>
  <si>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</si>
  <si>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</si>
  <si>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</si>
  <si>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</si>
  <si>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</si>
  <si>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</si>
  <si>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</si>
  <si>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</si>
  <si>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</si>
  <si>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</si>
  <si>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</si>
  <si>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</si>
  <si>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</si>
  <si>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</si>
  <si>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</si>
  <si>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</si>
  <si>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</si>
  <si>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</si>
  <si>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</si>
  <si>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</si>
  <si>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</si>
  <si>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</si>
  <si>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</si>
  <si>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</si>
  <si>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</si>
  <si>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</si>
  <si>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</si>
  <si>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</si>
  <si>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</si>
  <si>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</si>
  <si>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</si>
  <si>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</si>
  <si>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</si>
  <si>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</si>
  <si>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</si>
  <si>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</si>
  <si>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</si>
  <si>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</si>
  <si>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</si>
  <si>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</si>
  <si>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</si>
  <si>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</si>
  <si>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</si>
  <si>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</si>
  <si>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</si>
  <si>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</si>
  <si>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</si>
  <si>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</si>
  <si>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</si>
  <si>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</si>
  <si>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</si>
  <si>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</si>
  <si>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</si>
  <si>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</si>
  <si>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</si>
  <si>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</si>
  <si>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</si>
  <si>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</si>
  <si>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</si>
  <si>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</si>
  <si>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</si>
  <si>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</si>
  <si>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</si>
  <si>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</si>
  <si>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</si>
  <si>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</si>
  <si>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</si>
  <si>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</si>
  <si>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</si>
  <si>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</si>
  <si>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</si>
  <si>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</si>
  <si>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</si>
  <si>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</si>
  <si>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</si>
  <si>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</si>
  <si>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</si>
  <si>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</si>
  <si>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</si>
  <si>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</si>
  <si>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</si>
  <si>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</si>
  <si>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</si>
  <si>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</si>
  <si>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</si>
  <si>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</si>
  <si>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</si>
  <si>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</si>
  <si>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</si>
  <si>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</si>
  <si>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</si>
  <si>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</si>
  <si>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</si>
  <si>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</si>
  <si>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</si>
  <si>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</si>
  <si>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</si>
  <si>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</si>
  <si>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</si>
  <si>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</si>
  <si>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</si>
  <si>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</si>
  <si>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</si>
  <si>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</si>
  <si>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</si>
  <si>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</si>
  <si>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</si>
  <si>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</si>
  <si>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</si>
  <si>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</si>
  <si>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</si>
  <si>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</si>
  <si>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</si>
  <si>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</si>
  <si>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</si>
  <si>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</si>
  <si>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</si>
  <si>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</si>
  <si>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</si>
  <si>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</si>
  <si>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</si>
  <si>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</si>
  <si>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</si>
  <si>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</si>
  <si>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</si>
  <si>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</si>
  <si>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</si>
  <si>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</si>
  <si>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</si>
  <si>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</si>
  <si>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</si>
  <si>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</si>
  <si>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</si>
  <si>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</si>
  <si>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</si>
  <si>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</si>
  <si>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</si>
  <si>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</si>
  <si>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</si>
  <si>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</si>
  <si>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</si>
  <si>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</si>
  <si>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</si>
  <si>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</si>
  <si>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</si>
  <si>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</si>
  <si>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</si>
  <si>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</si>
  <si>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</si>
  <si>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</si>
  <si>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</si>
  <si>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</si>
  <si>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</si>
  <si>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</si>
  <si>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</si>
  <si>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</si>
  <si>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</si>
  <si>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</si>
  <si>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</si>
  <si>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</si>
  <si>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</si>
  <si>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</si>
  <si>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</si>
  <si>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</si>
  <si>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</si>
  <si>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</si>
  <si>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</si>
  <si>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</si>
  <si>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</si>
  <si>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</si>
  <si>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</si>
  <si>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</si>
  <si>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</si>
  <si>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</si>
  <si>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</si>
  <si>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</si>
  <si>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</si>
  <si>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</si>
  <si>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</si>
  <si>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</si>
  <si>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</si>
  <si>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</si>
  <si>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</si>
  <si>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</si>
  <si>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</si>
  <si>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</si>
  <si>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</si>
  <si>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</si>
  <si>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</si>
  <si>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</si>
  <si>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</si>
  <si>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</si>
  <si>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</si>
  <si>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</si>
  <si>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</si>
  <si>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</si>
  <si>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</si>
  <si>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</si>
  <si>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</si>
  <si>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</si>
  <si>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</si>
  <si>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</si>
  <si>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</si>
  <si>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</si>
  <si>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</si>
  <si>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</si>
  <si>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</si>
  <si>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</si>
  <si>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</si>
  <si>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</si>
  <si>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</si>
  <si>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</si>
  <si>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</si>
  <si>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</si>
  <si>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</si>
  <si>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</si>
  <si>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</si>
  <si>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</si>
  <si>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</si>
  <si>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</si>
  <si>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</si>
  <si>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</si>
  <si>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</si>
  <si>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</si>
  <si>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</si>
  <si>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</si>
  <si>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</si>
  <si>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</si>
  <si>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</si>
  <si>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</si>
  <si>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</si>
  <si>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</si>
  <si>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</si>
  <si>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</si>
  <si>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</si>
  <si>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</si>
  <si>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</si>
  <si>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</si>
  <si>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</si>
  <si>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</si>
  <si>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</si>
  <si>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</si>
  <si>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</si>
  <si>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</si>
  <si>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</si>
  <si>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</si>
  <si>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</si>
  <si>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</si>
  <si>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</si>
  <si>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</si>
  <si>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</si>
  <si>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</si>
  <si>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</si>
  <si>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</si>
  <si>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</si>
  <si>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</si>
  <si>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</si>
  <si>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</si>
  <si>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</si>
  <si>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</si>
  <si>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</si>
  <si>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</si>
  <si>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</si>
  <si>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</si>
  <si>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</si>
  <si>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</si>
  <si>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</si>
  <si>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</si>
  <si>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</si>
  <si>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</si>
  <si>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</si>
  <si>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</si>
  <si>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</si>
  <si>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</si>
  <si>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</si>
  <si>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</si>
  <si>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</si>
  <si>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</si>
  <si>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</si>
  <si>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</si>
  <si>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</si>
  <si>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</si>
  <si>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</si>
  <si>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</si>
  <si>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</si>
  <si>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</si>
  <si>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</si>
  <si>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</si>
  <si>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</si>
  <si>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</si>
  <si>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</si>
  <si>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</si>
  <si>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</si>
  <si>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</si>
  <si>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</si>
  <si>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</si>
  <si>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</si>
  <si>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</si>
  <si>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</si>
  <si>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</si>
  <si>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</si>
  <si>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</si>
  <si>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</si>
  <si>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</si>
  <si>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</si>
  <si>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</si>
  <si>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</si>
  <si>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</si>
  <si>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</si>
  <si>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</si>
  <si>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</si>
  <si>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</si>
  <si>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</si>
  <si>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</si>
  <si>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</si>
  <si>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</si>
  <si>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</si>
  <si>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</si>
  <si>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</si>
  <si>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</si>
  <si>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</si>
  <si>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</si>
  <si>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</si>
  <si>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</si>
  <si>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</si>
  <si>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</si>
  <si>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</si>
  <si>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</si>
  <si>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</si>
  <si>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</si>
  <si>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</si>
  <si>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</si>
  <si>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</si>
  <si>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</si>
  <si>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</si>
  <si>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</si>
  <si>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</si>
  <si>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</si>
  <si>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</si>
  <si>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</si>
  <si>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</si>
  <si>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</si>
  <si>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</si>
  <si>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</si>
  <si>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</si>
  <si>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</si>
  <si>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</si>
  <si>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</si>
  <si>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</si>
  <si>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</si>
  <si>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</si>
  <si>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</si>
  <si>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</si>
  <si>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</si>
  <si>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</si>
  <si>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</si>
  <si>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</si>
  <si>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</si>
  <si>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</si>
  <si>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</si>
  <si>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</si>
  <si>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</si>
  <si>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</si>
  <si>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</si>
  <si>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</si>
  <si>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</si>
  <si>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</si>
  <si>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</si>
  <si>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</si>
  <si>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</si>
  <si>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</si>
  <si>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</si>
  <si>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</si>
  <si>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</si>
  <si>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</si>
  <si>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</si>
  <si>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</si>
  <si>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</si>
  <si>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</si>
  <si>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</si>
  <si>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</si>
  <si>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</si>
  <si>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</si>
  <si>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</si>
  <si>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</si>
  <si>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</si>
  <si>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</si>
  <si>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</si>
  <si>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</si>
  <si>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</si>
  <si>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</si>
  <si>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</si>
  <si>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</si>
  <si>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</si>
  <si>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</si>
  <si>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</si>
  <si>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</si>
  <si>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</si>
  <si>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</si>
  <si>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</si>
  <si>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</si>
  <si>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</si>
  <si>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</si>
  <si>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</si>
  <si>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</si>
  <si>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</si>
  <si>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</si>
  <si>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</si>
  <si>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</si>
  <si>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</si>
  <si>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</si>
  <si>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</si>
  <si>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</si>
  <si>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</si>
  <si>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</si>
  <si>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</si>
  <si>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</si>
  <si>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</si>
  <si>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</si>
  <si>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</si>
  <si>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</si>
  <si>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</si>
  <si>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</si>
  <si>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</si>
  <si>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</si>
  <si>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</si>
  <si>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</si>
  <si>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</si>
  <si>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</si>
  <si>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</si>
  <si>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</si>
  <si>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</si>
  <si>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</si>
  <si>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</si>
  <si>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</si>
  <si>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</si>
  <si>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</si>
  <si>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</si>
  <si>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</si>
  <si>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</si>
  <si>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</si>
  <si>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</si>
  <si>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</si>
  <si>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</si>
  <si>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</si>
  <si>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</si>
  <si>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</si>
  <si>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</si>
  <si>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</si>
  <si>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</si>
  <si>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</si>
  <si>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</si>
  <si>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</si>
  <si>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</si>
  <si>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</si>
  <si>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</si>
  <si>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</si>
  <si>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</si>
  <si>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</si>
  <si>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</si>
  <si>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</si>
  <si>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</si>
  <si>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</si>
  <si>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</si>
  <si>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</si>
  <si>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</si>
  <si>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</si>
  <si>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</si>
  <si>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</si>
  <si>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</si>
  <si>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</si>
  <si>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</si>
  <si>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</si>
  <si>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</si>
  <si>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</si>
  <si>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</si>
  <si>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</si>
  <si>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</si>
  <si>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</si>
  <si>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</si>
  <si>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</si>
  <si>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</si>
  <si>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</si>
  <si>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</si>
  <si>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</si>
  <si>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</si>
  <si>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</si>
  <si>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</si>
  <si>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</si>
  <si>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</si>
  <si>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</si>
  <si>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</si>
  <si>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</si>
  <si>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</si>
  <si>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</si>
  <si>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</si>
  <si>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</si>
  <si>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</si>
  <si>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</si>
  <si>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</si>
  <si>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</si>
  <si>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</si>
  <si>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</si>
  <si>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</si>
  <si>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</si>
  <si>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</si>
  <si>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</si>
  <si>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</si>
  <si>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</si>
  <si>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</si>
  <si>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</si>
  <si>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</si>
  <si>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</si>
  <si>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</si>
  <si>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</si>
  <si>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</si>
  <si>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</si>
  <si>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</si>
  <si>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</si>
  <si>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</si>
  <si>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</si>
  <si>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</si>
  <si>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</si>
  <si>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</si>
  <si>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</si>
  <si>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</si>
  <si>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</si>
  <si>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</si>
  <si>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</si>
  <si>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</si>
  <si>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</si>
  <si>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</si>
  <si>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</si>
  <si>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</si>
  <si>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</si>
  <si>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</si>
  <si>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</si>
  <si>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</si>
  <si>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</si>
  <si>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</si>
  <si>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</si>
  <si>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</si>
  <si>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</si>
  <si>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</si>
  <si>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</si>
  <si>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</si>
  <si>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</si>
  <si>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</si>
  <si>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</si>
  <si>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</si>
  <si>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</si>
  <si>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</si>
  <si>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</si>
  <si>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</si>
  <si>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</si>
  <si>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</si>
  <si>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</si>
  <si>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</si>
  <si>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</si>
  <si>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</si>
  <si>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</si>
  <si>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</si>
  <si>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</si>
  <si>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</si>
  <si>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</si>
  <si>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</si>
  <si>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</si>
  <si>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</si>
  <si>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</si>
  <si>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</si>
  <si>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</si>
  <si>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</si>
  <si>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</si>
  <si>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</si>
  <si>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</si>
  <si>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</si>
  <si>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</si>
  <si>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</si>
  <si>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</si>
  <si>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</si>
  <si>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</si>
  <si>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</si>
  <si>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</si>
  <si>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</si>
  <si>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</si>
  <si>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</si>
  <si>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</si>
  <si>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</si>
  <si>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</si>
  <si>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</si>
  <si>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</si>
  <si>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</si>
  <si>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</si>
  <si>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</si>
  <si>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</si>
  <si>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</si>
  <si>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</si>
  <si>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</si>
  <si>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</si>
  <si>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</si>
  <si>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</si>
  <si>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</si>
  <si>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</si>
  <si>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</si>
  <si>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</si>
  <si>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</si>
  <si>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</si>
  <si>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</si>
  <si>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</si>
  <si>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</si>
  <si>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</si>
  <si>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</si>
  <si>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</si>
  <si>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</si>
  <si>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</si>
  <si>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</si>
  <si>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</si>
  <si>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</si>
  <si>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</si>
  <si>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</si>
  <si>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</si>
  <si>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</si>
  <si>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</si>
  <si>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</si>
  <si>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</si>
  <si>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</si>
  <si>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</si>
  <si>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</si>
  <si>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</si>
  <si>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</si>
  <si>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</si>
  <si>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</si>
  <si>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</si>
  <si>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</si>
  <si>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</si>
  <si>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</si>
  <si>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</si>
  <si>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</si>
  <si>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</si>
  <si>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</si>
  <si>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</si>
  <si>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</si>
  <si>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</si>
  <si>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</si>
  <si>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</si>
  <si>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</si>
  <si>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</si>
  <si>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</si>
  <si>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</si>
  <si>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</si>
  <si>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</si>
  <si>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</si>
  <si>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</si>
  <si>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</si>
  <si>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</si>
  <si>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</si>
  <si>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</si>
  <si>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</si>
  <si>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</si>
  <si>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</si>
  <si>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</si>
  <si>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</si>
  <si>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</si>
  <si>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</si>
  <si>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</si>
  <si>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</si>
  <si>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</si>
  <si>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</si>
  <si>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</si>
  <si>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</si>
  <si>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</si>
  <si>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</si>
  <si>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</si>
  <si>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</si>
  <si>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</si>
  <si>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</si>
  <si>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</si>
  <si>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</si>
  <si>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</si>
  <si>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</si>
  <si>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</si>
  <si>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</si>
  <si>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</si>
  <si>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</si>
  <si>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</si>
  <si>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</si>
  <si>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</si>
  <si>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</si>
  <si>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</si>
  <si>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</si>
  <si>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</si>
  <si>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</si>
  <si>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</si>
  <si>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</si>
  <si>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</si>
  <si>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</si>
  <si>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</si>
  <si>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</si>
  <si>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</si>
  <si>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</si>
  <si>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</si>
  <si>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</si>
  <si>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</si>
  <si>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</si>
  <si>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</si>
  <si>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</si>
  <si>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</si>
  <si>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</si>
  <si>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</si>
  <si>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</si>
  <si>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</si>
  <si>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</si>
  <si>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</si>
  <si>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</si>
  <si>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</si>
  <si>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</si>
  <si>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</si>
  <si>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</si>
  <si>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</si>
  <si>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</si>
  <si>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</si>
  <si>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</si>
  <si>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</si>
  <si>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</si>
  <si>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</si>
  <si>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</si>
  <si>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</si>
  <si>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</si>
  <si>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</si>
  <si>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</si>
  <si>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</si>
  <si>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</si>
  <si>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</si>
  <si>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</si>
  <si>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</si>
  <si>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</si>
  <si>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</si>
  <si>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</si>
  <si>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</si>
  <si>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</si>
  <si>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</si>
  <si>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</si>
  <si>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</si>
  <si>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</si>
  <si>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</si>
  <si>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</si>
  <si>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</si>
  <si>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</si>
  <si>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</si>
  <si>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</si>
  <si>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</si>
  <si>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</si>
  <si>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</si>
  <si>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</si>
  <si>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</si>
  <si>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</si>
  <si>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</si>
  <si>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</si>
  <si>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</si>
  <si>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</si>
  <si>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</si>
  <si>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</si>
  <si>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</si>
  <si>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</si>
  <si>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</si>
  <si>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</si>
  <si>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</si>
  <si>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</si>
  <si>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</si>
  <si>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</si>
  <si>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</si>
  <si>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</si>
  <si>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</si>
  <si>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</si>
  <si>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</si>
  <si>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</si>
  <si>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</si>
  <si>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</si>
  <si>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</si>
  <si>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</si>
  <si>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</si>
  <si>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</si>
  <si>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</si>
  <si>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</si>
  <si>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</si>
  <si>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</si>
  <si>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</si>
  <si>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</si>
  <si>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</si>
  <si>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</si>
  <si>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</si>
  <si>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</si>
  <si>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</si>
  <si>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</si>
  <si>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</si>
  <si>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</si>
  <si>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</si>
  <si>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</si>
  <si>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</si>
  <si>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</si>
  <si>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</si>
  <si>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</si>
  <si>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</si>
  <si>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</si>
  <si>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</si>
  <si>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</si>
  <si>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</si>
  <si>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</si>
  <si>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</si>
  <si>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</si>
  <si>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</si>
  <si>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</si>
  <si>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</si>
  <si>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</si>
  <si>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</si>
  <si>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</si>
  <si>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</si>
  <si>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</si>
  <si>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</si>
  <si>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</si>
  <si>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</si>
  <si>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</si>
  <si>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</si>
  <si>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</si>
  <si>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</si>
  <si>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</si>
  <si>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</si>
  <si>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</si>
  <si>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</si>
  <si>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</si>
  <si>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</si>
  <si>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</si>
  <si>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</si>
  <si>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</si>
  <si>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</si>
  <si>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</si>
  <si>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</si>
  <si>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</si>
  <si>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</si>
  <si>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</si>
  <si>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</si>
  <si>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</si>
  <si>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</si>
  <si>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</si>
  <si>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</si>
  <si>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</si>
  <si>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</si>
  <si>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</si>
  <si>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</si>
  <si>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</si>
  <si>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</si>
  <si>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</si>
  <si>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</si>
  <si>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</si>
  <si>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</si>
  <si>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</si>
  <si>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</si>
  <si>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</si>
  <si>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</si>
  <si>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</si>
  <si>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</si>
  <si>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</si>
  <si>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</si>
  <si>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</si>
  <si>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</si>
  <si>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</si>
  <si>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</si>
  <si>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</si>
  <si>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</si>
  <si>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</si>
  <si>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</si>
  <si>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</si>
  <si>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</si>
  <si>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</si>
  <si>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</si>
  <si>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</si>
  <si>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</si>
  <si>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</si>
  <si>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</si>
  <si>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</si>
  <si>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</si>
  <si>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</si>
  <si>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</si>
  <si>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</si>
  <si>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</si>
  <si>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</si>
  <si>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</si>
  <si>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</si>
  <si>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</si>
  <si>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</si>
  <si>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</si>
  <si>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</si>
  <si>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</si>
  <si>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</si>
  <si>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</si>
  <si>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</si>
  <si>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</si>
  <si>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</si>
  <si>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</si>
  <si>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</si>
  <si>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</si>
  <si>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</si>
  <si>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</si>
  <si>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</si>
  <si>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</si>
  <si>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</si>
  <si>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</si>
  <si>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</si>
  <si>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</si>
  <si>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</si>
  <si>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</si>
  <si>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</si>
  <si>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</si>
  <si>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</si>
  <si>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</si>
  <si>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</si>
  <si>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</si>
  <si>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</si>
  <si>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</si>
  <si>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</si>
  <si>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</si>
  <si>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</si>
  <si>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</si>
  <si>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</si>
  <si>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</si>
  <si>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</si>
  <si>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</si>
  <si>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</si>
  <si>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</si>
  <si>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</si>
  <si>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</si>
  <si>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</si>
  <si>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</si>
  <si>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</si>
  <si>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</si>
  <si>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</si>
  <si>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</si>
  <si>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</si>
  <si>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</si>
  <si>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</si>
  <si>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</si>
  <si>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</si>
  <si>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</si>
  <si>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</si>
  <si>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</si>
  <si>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</si>
  <si>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</si>
  <si>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</si>
  <si>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</si>
  <si>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</si>
  <si>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</si>
  <si>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</si>
  <si>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</si>
  <si>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</si>
  <si>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</si>
  <si>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</si>
  <si>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</si>
  <si>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</si>
  <si>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</si>
  <si>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</si>
  <si>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</si>
  <si>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</si>
  <si>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</si>
  <si>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</si>
  <si>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</si>
  <si>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</si>
  <si>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</si>
  <si>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</si>
  <si>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</si>
  <si>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</si>
  <si>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</si>
  <si>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</si>
  <si>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</si>
  <si>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</si>
  <si>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</si>
  <si>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</si>
  <si>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</si>
  <si>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</si>
  <si>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</si>
  <si>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</si>
  <si>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</si>
  <si>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</si>
  <si>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</si>
  <si>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</si>
  <si>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</si>
  <si>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</si>
  <si>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</si>
  <si>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</si>
  <si>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</si>
  <si>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</si>
  <si>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</si>
  <si>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</si>
  <si>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</si>
  <si>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</si>
  <si>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</si>
  <si>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</si>
  <si>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</si>
  <si>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</si>
  <si>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</si>
  <si>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</si>
  <si>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</si>
  <si>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</si>
  <si>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</si>
  <si>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</si>
  <si>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</si>
  <si>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</si>
  <si>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</si>
  <si>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</si>
  <si>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</si>
  <si>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</si>
  <si>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</si>
  <si>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</si>
  <si>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</si>
  <si>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</si>
  <si>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</si>
  <si>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</si>
  <si>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</si>
  <si>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</si>
  <si>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</si>
  <si>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</si>
  <si>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</si>
  <si>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</si>
  <si>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</si>
  <si>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</si>
  <si>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</si>
  <si>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</si>
  <si>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</si>
  <si>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</si>
  <si>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</si>
  <si>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</si>
  <si>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</si>
  <si>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</si>
  <si>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</si>
  <si>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</si>
  <si>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</si>
  <si>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</si>
  <si>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</si>
  <si>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</si>
  <si>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</si>
  <si>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</si>
  <si>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</si>
  <si>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</si>
  <si>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</si>
  <si>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</si>
  <si>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</si>
  <si>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</si>
  <si>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</si>
  <si>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</si>
  <si>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</si>
  <si>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</si>
  <si>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</si>
  <si>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</si>
  <si>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</si>
  <si>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</si>
  <si>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</si>
  <si>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</si>
  <si>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</si>
  <si>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</si>
  <si>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</si>
  <si>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</si>
  <si>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</si>
  <si>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</si>
  <si>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</si>
  <si>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</si>
  <si>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</si>
  <si>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</si>
  <si>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</si>
  <si>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</si>
  <si>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</si>
  <si>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</si>
  <si>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</si>
  <si>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</si>
  <si>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</si>
  <si>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</si>
  <si>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</si>
  <si>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</si>
  <si>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</si>
  <si>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</si>
  <si>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</si>
  <si>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</si>
  <si>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</si>
  <si>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</si>
  <si>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</si>
  <si>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</si>
  <si>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</si>
  <si>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</si>
  <si>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</si>
  <si>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</si>
  <si>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</si>
  <si>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</si>
  <si>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</si>
  <si>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</si>
  <si>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</si>
  <si>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</si>
  <si>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</si>
  <si>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</si>
  <si>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</si>
  <si>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</si>
  <si>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</si>
  <si>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</si>
  <si>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</si>
  <si>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</si>
  <si>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</si>
  <si>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</si>
  <si>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</si>
  <si>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</si>
  <si>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</si>
  <si>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</si>
  <si>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</si>
  <si>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</si>
  <si>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</si>
  <si>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</si>
  <si>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</si>
  <si>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</si>
  <si>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</si>
  <si>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</si>
  <si>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</si>
  <si>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</si>
  <si>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</si>
  <si>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</si>
  <si>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</si>
  <si>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</si>
  <si>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</si>
  <si>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</si>
  <si>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</si>
  <si>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</si>
  <si>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</si>
  <si>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</si>
  <si>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</si>
  <si>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</si>
  <si>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</si>
  <si>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</si>
  <si>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</si>
  <si>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</si>
  <si>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</si>
  <si>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</si>
  <si>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</si>
  <si>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</si>
  <si>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</si>
  <si>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</si>
  <si>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</si>
  <si>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</si>
  <si>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</si>
  <si>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</si>
  <si>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</si>
  <si>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</si>
  <si>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</si>
  <si>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</si>
  <si>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</si>
  <si>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</si>
  <si>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</si>
  <si>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</si>
  <si>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</si>
  <si>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</si>
  <si>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</si>
  <si>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</si>
  <si>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</si>
  <si>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</si>
  <si>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</si>
  <si>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</si>
  <si>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</si>
  <si>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</si>
  <si>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</si>
  <si>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</si>
  <si>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</si>
  <si>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</si>
  <si>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</si>
  <si>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</si>
  <si>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</si>
  <si>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</si>
  <si>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</si>
  <si>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</si>
  <si>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</si>
  <si>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</si>
  <si>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</si>
  <si>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</si>
  <si>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</si>
  <si>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</si>
  <si>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</si>
  <si>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</si>
  <si>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</si>
  <si>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</si>
  <si>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</si>
  <si>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</si>
  <si>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</si>
  <si>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</si>
  <si>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</si>
  <si>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</si>
  <si>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</si>
  <si>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</si>
  <si>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</si>
  <si>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</si>
  <si>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</si>
  <si>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</si>
  <si>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</si>
  <si>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</si>
  <si>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</si>
  <si>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</si>
  <si>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</si>
  <si>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</si>
  <si>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</si>
  <si>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</si>
  <si>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</si>
  <si>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</si>
  <si>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</si>
  <si>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</si>
  <si>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</si>
  <si>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</si>
  <si>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</si>
  <si>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</si>
  <si>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</si>
  <si>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</si>
  <si>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</si>
  <si>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</si>
  <si>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</si>
  <si>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</si>
  <si>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</si>
  <si>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</si>
  <si>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</si>
  <si>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</si>
  <si>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</si>
  <si>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</si>
  <si>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</si>
  <si>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</si>
  <si>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</si>
  <si>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</si>
  <si>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</si>
  <si>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</si>
  <si>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</si>
  <si>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</si>
  <si>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</si>
  <si>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</si>
  <si>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</si>
  <si>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</si>
  <si>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</si>
  <si>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</si>
  <si>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</si>
  <si>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</si>
  <si>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</si>
  <si>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</si>
  <si>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</si>
  <si>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</si>
  <si>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</si>
  <si>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</si>
  <si>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</si>
  <si>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</si>
  <si>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</si>
  <si>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</si>
  <si>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</si>
  <si>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</si>
  <si>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</si>
  <si>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</si>
  <si>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</si>
  <si>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</si>
  <si>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</si>
  <si>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</si>
  <si>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</si>
  <si>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</si>
  <si>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</si>
  <si>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</si>
  <si>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</si>
  <si>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</si>
  <si>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</si>
  <si>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</si>
  <si>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</si>
  <si>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</si>
  <si>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</si>
  <si>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</si>
  <si>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</si>
  <si>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</si>
  <si>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</si>
  <si>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</si>
  <si>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</si>
  <si>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</si>
  <si>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</si>
  <si>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</si>
  <si>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</si>
  <si>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</si>
  <si>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</si>
  <si>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</si>
  <si>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</si>
  <si>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</si>
  <si>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</si>
  <si>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</si>
  <si>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</si>
  <si>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</si>
  <si>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</si>
  <si>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</si>
  <si>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</si>
  <si>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</si>
  <si>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</si>
  <si>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</si>
  <si>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</si>
  <si>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</si>
  <si>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</si>
  <si>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</si>
  <si>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</si>
  <si>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</si>
  <si>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</si>
  <si>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</si>
  <si>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</si>
  <si>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</si>
  <si>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</si>
  <si>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</si>
  <si>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</si>
  <si>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</si>
  <si>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</si>
  <si>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</si>
  <si>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</si>
  <si>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</si>
  <si>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</si>
  <si>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</si>
  <si>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</si>
  <si>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</si>
  <si>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</si>
  <si>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</si>
  <si>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</si>
  <si>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</si>
  <si>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</si>
  <si>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</si>
  <si>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</si>
  <si>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</si>
  <si>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</si>
  <si>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</si>
  <si>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</si>
  <si>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</si>
  <si>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</si>
  <si>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</si>
  <si>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</si>
  <si>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</si>
  <si>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</si>
  <si>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</si>
  <si>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</si>
  <si>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</si>
  <si>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</si>
  <si>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</si>
  <si>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</si>
  <si>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</si>
  <si>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</si>
  <si>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</si>
  <si>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</si>
  <si>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</si>
  <si>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</si>
  <si>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</si>
  <si>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</si>
  <si>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</si>
  <si>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</si>
  <si>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</si>
  <si>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</si>
  <si>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</si>
  <si>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</si>
  <si>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</si>
  <si>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</si>
  <si>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</si>
  <si>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</si>
  <si>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</si>
  <si>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</si>
  <si>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</si>
  <si>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</si>
  <si>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</si>
  <si>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</si>
  <si>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</si>
  <si>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</si>
  <si>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</si>
  <si>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</si>
  <si>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</si>
  <si>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</si>
  <si>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</si>
  <si>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</si>
  <si>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</si>
  <si>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</si>
  <si>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</si>
  <si>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</si>
  <si>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</si>
  <si>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</si>
  <si>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</si>
  <si>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</si>
  <si>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</si>
  <si>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</si>
  <si>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</si>
  <si>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</si>
  <si>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</si>
  <si>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</si>
  <si>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</si>
  <si>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</si>
  <si>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</si>
  <si>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</si>
  <si>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</si>
  <si>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</si>
  <si>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</si>
  <si>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</si>
  <si>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</si>
  <si>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</si>
  <si>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</si>
  <si>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</si>
  <si>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</si>
  <si>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</si>
  <si>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</si>
  <si>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</si>
  <si>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</si>
  <si>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</si>
  <si>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</si>
  <si>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</si>
  <si>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</si>
  <si>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</si>
  <si>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</si>
  <si>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</si>
  <si>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</si>
  <si>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</si>
  <si>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</si>
  <si>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</si>
  <si>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</si>
  <si>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</si>
  <si>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</si>
  <si>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</si>
  <si>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</si>
  <si>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</si>
  <si>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</si>
  <si>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</si>
  <si>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</si>
  <si>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</si>
  <si>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</si>
  <si>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</si>
  <si>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</si>
  <si>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</si>
  <si>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</si>
  <si>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</si>
  <si>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</si>
  <si>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</si>
  <si>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</si>
  <si>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</si>
  <si>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</si>
  <si>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</si>
  <si>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</si>
  <si>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</si>
  <si>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</si>
  <si>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</si>
  <si>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</si>
  <si>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</si>
  <si>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</si>
  <si>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</si>
  <si>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</si>
  <si>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</si>
  <si>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</si>
  <si>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</si>
  <si>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</si>
  <si>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</si>
  <si>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</si>
  <si>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</si>
  <si>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</si>
  <si>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</si>
  <si>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</si>
  <si>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</si>
  <si>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</si>
  <si>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</si>
  <si>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</si>
  <si>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</si>
  <si>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</si>
  <si>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</si>
  <si>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</si>
  <si>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</si>
  <si>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</si>
  <si>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</si>
  <si>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</si>
  <si>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</si>
  <si>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</si>
  <si>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</si>
  <si>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</si>
  <si>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</si>
  <si>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</si>
  <si>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</si>
  <si>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</si>
  <si>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</si>
  <si>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</si>
  <si>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</si>
  <si>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</si>
  <si>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</si>
  <si>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</si>
  <si>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</si>
  <si>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</si>
  <si>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</si>
  <si>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</si>
  <si>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</si>
  <si>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</si>
  <si>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</si>
  <si>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</si>
  <si>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</si>
  <si>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</si>
  <si>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</si>
  <si>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</si>
  <si>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</si>
  <si>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</si>
  <si>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</si>
  <si>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</si>
  <si>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</si>
  <si>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</si>
  <si>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</si>
  <si>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</si>
  <si>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</si>
  <si>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</si>
  <si>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</si>
  <si>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</si>
  <si>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</si>
  <si>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</si>
  <si>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</si>
  <si>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</si>
  <si>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</si>
  <si>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</si>
  <si>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</si>
  <si>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</si>
  <si>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</si>
  <si>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</si>
  <si>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</si>
  <si>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</si>
  <si>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</si>
  <si>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</si>
  <si>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</si>
  <si>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</si>
  <si>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</si>
  <si>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</si>
  <si>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</si>
  <si>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</si>
  <si>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</si>
  <si>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</si>
  <si>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</si>
  <si>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</si>
  <si>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</si>
  <si>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</si>
  <si>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</si>
  <si>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</si>
  <si>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</si>
  <si>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</si>
  <si>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</si>
  <si>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</si>
  <si>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</si>
  <si>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</si>
  <si>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</si>
  <si>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</si>
  <si>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</si>
  <si>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</si>
  <si>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</si>
  <si>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</si>
  <si>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</si>
  <si>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</si>
  <si>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</si>
  <si>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</si>
  <si>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</si>
  <si>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</si>
  <si>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</si>
  <si>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</si>
  <si>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</si>
  <si>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</si>
  <si>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</si>
  <si>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</si>
  <si>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</si>
  <si>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</si>
  <si>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</si>
  <si>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</si>
  <si>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</si>
  <si>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</si>
  <si>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</si>
  <si>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</si>
  <si>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</si>
  <si>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</si>
  <si>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</si>
  <si>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</si>
  <si>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</si>
  <si>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</si>
  <si>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</si>
  <si>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</si>
  <si>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</si>
  <si>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</si>
  <si>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</si>
  <si>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</si>
  <si>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</si>
  <si>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</si>
  <si>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</si>
  <si>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</si>
  <si>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</si>
  <si>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</si>
  <si>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</si>
  <si>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</si>
  <si>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</si>
  <si>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</si>
  <si>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</si>
  <si>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</si>
  <si>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</si>
  <si>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</si>
  <si>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</si>
  <si>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</si>
  <si>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</si>
  <si>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</si>
  <si>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</si>
  <si>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</si>
  <si>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</si>
  <si>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</si>
  <si>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</si>
  <si>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</si>
  <si>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</si>
  <si>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</si>
  <si>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</si>
  <si>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</si>
  <si>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</si>
  <si>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</si>
  <si>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</si>
  <si>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</si>
  <si>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</si>
  <si>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</si>
  <si>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</si>
  <si>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</si>
  <si>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</si>
  <si>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</si>
  <si>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</si>
  <si>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</si>
  <si>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</si>
  <si>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</si>
  <si>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</si>
  <si>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</si>
  <si>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</si>
  <si>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</si>
  <si>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</si>
  <si>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</si>
  <si>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</si>
  <si>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</si>
  <si>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</si>
  <si>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</si>
  <si>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</si>
  <si>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</si>
  <si>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</si>
  <si>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</si>
  <si>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</si>
  <si>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</si>
  <si>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</si>
  <si>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</si>
  <si>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</si>
  <si>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</si>
  <si>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</si>
  <si>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</si>
  <si>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</si>
  <si>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</si>
  <si>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</si>
  <si>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</si>
  <si>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</si>
  <si>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</si>
  <si>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</si>
  <si>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</si>
  <si>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</si>
  <si>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</si>
  <si>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Manon Jezequel</t>
  </si>
  <si>
    <t xml:space="preserve">Gapeau</t>
  </si>
  <si>
    <t xml:space="preserve">Belgentier</t>
  </si>
  <si>
    <t xml:space="preserve">06300092</t>
  </si>
  <si>
    <t xml:space="preserve">RCS PACA 2015</t>
  </si>
  <si>
    <t xml:space="preserve">radier</t>
  </si>
  <si>
    <t xml:space="preserve">pl. lent</t>
  </si>
  <si>
    <t xml:space="preserve">faible</t>
  </si>
  <si>
    <t xml:space="preserve">peu abondant</t>
  </si>
  <si>
    <t xml:space="preserve">Cf.</t>
  </si>
  <si>
    <t xml:space="preserve">Référence des noms taxons</t>
  </si>
  <si>
    <t xml:space="preserve">v</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</si>
  <si>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</si>
  <si>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</si>
  <si>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</si>
  <si>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</si>
  <si>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</si>
  <si>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</si>
  <si>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</si>
  <si>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</si>
  <si>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</si>
  <si>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</si>
  <si>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</si>
  <si>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</si>
  <si>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</si>
  <si>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</si>
  <si>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</si>
  <si>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</si>
  <si>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</si>
  <si>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</si>
  <si>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périphyton</t>
  </si>
  <si>
    <t xml:space="preserve">absent</t>
  </si>
  <si>
    <t xml:space="preserve">abondant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</si>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</sst>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C34" activeCellId="0" sqref="C34"/>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42212</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12.8620689655172</v>
      </c>
      <c r="N5" s="352"/>
      <c r="O5" s="353" t="s">
        <v>702</v>
      </c>
      <c r="P5" s="354" t="n">
        <v>12.304347826087</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3</v>
      </c>
      <c r="P6" s="366" t="s">
        <v>3460</v>
      </c>
      <c r="Q6" s="367"/>
      <c r="R6" s="309"/>
      <c r="S6" s="309"/>
      <c r="T6" s="309"/>
      <c r="U6" s="309"/>
      <c r="V6" s="309"/>
      <c r="W6" s="323"/>
    </row>
    <row r="7" customFormat="false" ht="12.75" hidden="false" customHeight="false" outlineLevel="0" collapsed="false">
      <c r="A7" s="368" t="s">
        <v>3388</v>
      </c>
      <c r="B7" s="369" t="n">
        <v>77</v>
      </c>
      <c r="C7" s="370" t="n">
        <v>23</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11.5555555555556</v>
      </c>
      <c r="P8" s="384" t="n">
        <f aca="false">IF(ISERROR(AVERAGE(K23:K82)),"  ",AVERAGE(K23:K82))</f>
        <v>1.66666666666667</v>
      </c>
      <c r="Q8" s="385"/>
      <c r="R8" s="309"/>
      <c r="S8" s="309"/>
      <c r="T8" s="309"/>
      <c r="U8" s="309"/>
      <c r="V8" s="309"/>
      <c r="W8" s="323"/>
    </row>
    <row r="9" customFormat="false" ht="12.75" hidden="false" customHeight="false" outlineLevel="0" collapsed="false">
      <c r="A9" s="342" t="s">
        <v>3394</v>
      </c>
      <c r="B9" s="386" t="n">
        <v>9.1</v>
      </c>
      <c r="C9" s="387" t="n">
        <v>0.4</v>
      </c>
      <c r="D9" s="388"/>
      <c r="E9" s="388"/>
      <c r="F9" s="389" t="n">
        <f aca="false">($B9*$B$7+$C9*$C$7)/100</f>
        <v>7.099</v>
      </c>
      <c r="G9" s="390"/>
      <c r="H9" s="345"/>
      <c r="I9" s="309"/>
      <c r="J9" s="391"/>
      <c r="K9" s="392"/>
      <c r="L9" s="375"/>
      <c r="M9" s="393"/>
      <c r="N9" s="383" t="s">
        <v>3395</v>
      </c>
      <c r="O9" s="384" t="n">
        <f aca="false">IF(ISERROR(STDEVP(J23:J82))," ",STDEVP(J23:J82))</f>
        <v>4.24554959434284</v>
      </c>
      <c r="P9" s="384" t="n">
        <f aca="false">IF(ISERROR(STDEVP(K23:K82)),"  ",STDEVP(K23:K82))</f>
        <v>0.666666666666667</v>
      </c>
      <c r="Q9" s="385"/>
      <c r="R9" s="309"/>
      <c r="S9" s="309"/>
      <c r="T9" s="309"/>
      <c r="U9" s="309"/>
      <c r="V9" s="309"/>
      <c r="W9" s="323"/>
    </row>
    <row r="10" customFormat="false" ht="12.75" hidden="false" customHeight="false" outlineLevel="0" collapsed="false">
      <c r="A10" s="342" t="s">
        <v>3396</v>
      </c>
      <c r="B10" s="394" t="s">
        <v>3461</v>
      </c>
      <c r="C10" s="395" t="s">
        <v>3461</v>
      </c>
      <c r="D10" s="388"/>
      <c r="E10" s="388"/>
      <c r="F10" s="389"/>
      <c r="G10" s="390"/>
      <c r="H10" s="358"/>
      <c r="I10" s="309"/>
      <c r="J10" s="396"/>
      <c r="K10" s="397" t="s">
        <v>3397</v>
      </c>
      <c r="L10" s="398"/>
      <c r="M10" s="399"/>
      <c r="N10" s="383" t="s">
        <v>3398</v>
      </c>
      <c r="O10" s="400" t="n">
        <f aca="false">MIN(J23:J82)</f>
        <v>4</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18</v>
      </c>
      <c r="P11" s="400" t="n">
        <f aca="false">MAX(K23:K82)</f>
        <v>3</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4</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6</v>
      </c>
      <c r="M13" s="409"/>
      <c r="N13" s="417" t="s">
        <v>3406</v>
      </c>
      <c r="O13" s="418" t="n">
        <f aca="false">COUNTIF(F23:F82,"&gt;0")</f>
        <v>11</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9</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1</v>
      </c>
      <c r="M15" s="409"/>
      <c r="N15" s="417" t="s">
        <v>3412</v>
      </c>
      <c r="O15" s="418" t="n">
        <f aca="false">COUNTIF(K23:K82,"=1")</f>
        <v>4</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4</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0.818181818181818</v>
      </c>
      <c r="N17" s="417" t="s">
        <v>3417</v>
      </c>
      <c r="O17" s="418" t="n">
        <f aca="false">COUNTIF(K23:K82,"=3")</f>
        <v>1</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9.125</v>
      </c>
      <c r="C20" s="461" t="n">
        <f aca="false">SUM(C23:C62)</f>
        <v>0.405</v>
      </c>
      <c r="D20" s="462"/>
      <c r="E20" s="463" t="s">
        <v>3419</v>
      </c>
      <c r="F20" s="464" t="n">
        <f aca="false">($B20*$B$7+$C20*$C$7)/100</f>
        <v>7.1194</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7.02625</v>
      </c>
      <c r="C21" s="472" t="n">
        <f aca="false">C20*C7/100</f>
        <v>0.09315</v>
      </c>
      <c r="D21" s="473" t="s">
        <v>3422</v>
      </c>
      <c r="E21" s="474"/>
      <c r="F21" s="475" t="n">
        <f aca="false">B21+C21</f>
        <v>7.1194</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132</v>
      </c>
      <c r="B23" s="501" t="n">
        <v>1</v>
      </c>
      <c r="C23" s="502"/>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0.77</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0.77</v>
      </c>
      <c r="S23" s="514" t="n">
        <f aca="false">IF(OR(ISTEXT(H23),R23=0),"",IF(R23&lt;0.1,1,IF(R23&lt;1,2,IF(R23&lt;10,3,IF(R23&lt;50,4,IF(R23&gt;=50,5,""))))))</f>
        <v>2</v>
      </c>
      <c r="T23" s="514" t="n">
        <f aca="false">IF(ISERROR(S23*J23),0,S23*J23)</f>
        <v>12</v>
      </c>
      <c r="U23" s="514" t="n">
        <f aca="false">IF(ISERROR(S23*J23*K23),0,S23*J23*K23)</f>
        <v>12</v>
      </c>
      <c r="V23" s="514" t="n">
        <f aca="false">IF(ISERROR(S23*K23),0,S23*K23)</f>
        <v>2</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215</v>
      </c>
      <c r="B24" s="519" t="n">
        <v>0.1</v>
      </c>
      <c r="C24" s="520"/>
      <c r="D24" s="521" t="str">
        <f aca="false">IF(ISERROR(VLOOKUP($A24,'liste reference'!$A$6:$B$1174,2,0)),IF(ISERROR(VLOOKUP($A24,'liste reference'!$B$6:$B$1174,1,0)),"",VLOOKUP($A24,'liste reference'!$B$6:$B$1174,1,0)),VLOOKUP($A24,'liste reference'!$A$6:$B$1174,2,0))</f>
        <v>Lemanea sp.</v>
      </c>
      <c r="E24" s="522" t="e">
        <f aca="false">IF(D24="",0,VLOOKUP(D24,D$22:D23,1,0))</f>
        <v>#N/A</v>
      </c>
      <c r="F24" s="523" t="n">
        <f aca="false">IF(AND(OR(A24="",A24="!!!!!!"),B24="",C24=""),"",IF(OR(AND(B24="",C24=""),ISERROR(C24+B24)),"!!!",($B24*$B$7+$C24*$C$7)/100))</f>
        <v>0.077</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15</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Lemanea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1159</v>
      </c>
      <c r="R24" s="513" t="n">
        <f aca="false">IF(ISTEXT(H24),"",(B24*$B$7/100)+(C24*$C$7/100))</f>
        <v>0.077</v>
      </c>
      <c r="S24" s="514" t="n">
        <f aca="false">IF(OR(ISTEXT(H24),R24=0),"",IF(R24&lt;0.1,1,IF(R24&lt;1,2,IF(R24&lt;10,3,IF(R24&lt;50,4,IF(R24&gt;=50,5,""))))))</f>
        <v>1</v>
      </c>
      <c r="T24" s="514" t="n">
        <f aca="false">IF(ISERROR(S24*J24),0,S24*J24)</f>
        <v>15</v>
      </c>
      <c r="U24" s="514" t="n">
        <f aca="false">IF(ISERROR(S24*J24*K24),0,S24*J24*K24)</f>
        <v>30</v>
      </c>
      <c r="V24" s="530" t="n">
        <f aca="false">IF(ISERROR(S24*K24),0,S24*K24)</f>
        <v>2</v>
      </c>
      <c r="W24" s="531"/>
      <c r="X24" s="532"/>
      <c r="Y24" s="517" t="str">
        <f aca="false">IF(AND(ISNUMBER(F24),OR(A24="",A24="!!!!!!")),"!!!!!!",IF(A24="new.cod","NEWCOD",IF(AND((Z24=""),ISTEXT(A24),A24&lt;&gt;"!!!!!!"),A24,IF(Z24="","",INDEX('liste reference'!$A$6:$A$1174,Z24)))))</f>
        <v>LEASPX</v>
      </c>
      <c r="Z24" s="499" t="n">
        <f aca="false">IF(ISERROR(MATCH(A24,'liste reference'!$A$6:$A$1174,0)),IF(ISERROR(MATCH(A24,'liste reference'!$B$6:$B$1174,0)),"",(MATCH(A24,'liste reference'!$B$6:$B$1174,0))),(MATCH(A24,'liste reference'!$A$6:$A$1174,0)))</f>
        <v>59</v>
      </c>
    </row>
    <row r="25" customFormat="false" ht="12.75" hidden="false" customHeight="false" outlineLevel="0" collapsed="false">
      <c r="A25" s="518" t="s">
        <v>289</v>
      </c>
      <c r="B25" s="519" t="n">
        <v>0.005</v>
      </c>
      <c r="C25" s="520"/>
      <c r="D25" s="521" t="str">
        <f aca="false">IF(ISERROR(VLOOKUP($A25,'liste reference'!$A$6:$B$1174,2,0)),IF(ISERROR(VLOOKUP($A25,'liste reference'!$B$6:$B$1174,1,0)),"",VLOOKUP($A25,'liste reference'!$B$6:$B$1174,1,0)),VLOOKUP($A25,'liste reference'!$A$6:$B$1174,2,0))</f>
        <v>Nostoc sp.</v>
      </c>
      <c r="E25" s="522" t="e">
        <f aca="false">IF(D25="",0,VLOOKUP(D25,D$22:D24,1,0))</f>
        <v>#N/A</v>
      </c>
      <c r="F25" s="523" t="n">
        <f aca="false">IF(AND(OR(A25="",A25="!!!!!!"),B25="",C25=""),"",IF(OR(AND(B25="",C25=""),ISERROR(C25+B25)),"!!!",($B25*$B$7+$C25*$C$7)/100))</f>
        <v>0.00385</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9</v>
      </c>
      <c r="K25" s="526" t="n">
        <f aca="false">IF(ISNUMBER($H25),IF(ISERROR(VLOOKUP($A25,'liste reference'!$A$6:$Q$1174,7,0)),IF(ISERROR(VLOOKUP($A25,'liste reference'!$B$6:$Q$1174,6,0)),"nu",VLOOKUP($A25,'liste reference'!$B$6:$Q$1174,6,0)),VLOOKUP($A25,'liste reference'!$A$6:$Q$1174,7,0)),"nu")</f>
        <v>1</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Nostoc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1105</v>
      </c>
      <c r="R25" s="513" t="n">
        <f aca="false">IF(ISTEXT(H25),"",(B25*$B$7/100)+(C25*$C$7/100))</f>
        <v>0.00385</v>
      </c>
      <c r="S25" s="514" t="n">
        <f aca="false">IF(OR(ISTEXT(H25),R25=0),"",IF(R25&lt;0.1,1,IF(R25&lt;1,2,IF(R25&lt;10,3,IF(R25&lt;50,4,IF(R25&gt;=50,5,""))))))</f>
        <v>1</v>
      </c>
      <c r="T25" s="514" t="n">
        <f aca="false">IF(ISERROR(S25*J25),0,S25*J25)</f>
        <v>9</v>
      </c>
      <c r="U25" s="514" t="n">
        <f aca="false">IF(ISERROR(S25*J25*K25),0,S25*J25*K25)</f>
        <v>9</v>
      </c>
      <c r="V25" s="530" t="n">
        <f aca="false">IF(ISERROR(S25*K25),0,S25*K25)</f>
        <v>1</v>
      </c>
      <c r="W25" s="531"/>
      <c r="X25" s="532"/>
      <c r="Y25" s="517" t="str">
        <f aca="false">IF(AND(ISNUMBER(F25),OR(A25="",A25="!!!!!!")),"!!!!!!",IF(A25="new.cod","NEWCOD",IF(AND((Z25=""),ISTEXT(A25),A25&lt;&gt;"!!!!!!"),A25,IF(Z25="","",INDEX('liste reference'!$A$6:$A$1174,Z25)))))</f>
        <v>NOSSPX</v>
      </c>
      <c r="Z25" s="499" t="n">
        <f aca="false">IF(ISERROR(MATCH(A25,'liste reference'!$A$6:$A$1174,0)),IF(ISERROR(MATCH(A25,'liste reference'!$B$6:$B$1174,0)),"",(MATCH(A25,'liste reference'!$B$6:$B$1174,0))),(MATCH(A25,'liste reference'!$A$6:$A$1174,0)))</f>
        <v>84</v>
      </c>
    </row>
    <row r="26" customFormat="false" ht="12.75" hidden="false" customHeight="false" outlineLevel="0" collapsed="false">
      <c r="A26" s="518" t="s">
        <v>393</v>
      </c>
      <c r="B26" s="519" t="n">
        <v>0.01</v>
      </c>
      <c r="C26" s="520"/>
      <c r="D26" s="521" t="str">
        <f aca="false">IF(ISERROR(VLOOKUP($A26,'liste reference'!$A$6:$B$1174,2,0)),IF(ISERROR(VLOOKUP($A26,'liste reference'!$B$6:$B$1174,1,0)),"",VLOOKUP($A26,'liste reference'!$B$6:$B$1174,1,0)),VLOOKUP($A26,'liste reference'!$A$6:$B$1174,2,0))</f>
        <v>Vaucheria sp.</v>
      </c>
      <c r="E26" s="522" t="e">
        <f aca="false">IF(D26="",0,VLOOKUP(D26,D$22:D25,1,0))</f>
        <v>#N/A</v>
      </c>
      <c r="F26" s="523" t="n">
        <f aca="false">IF(AND(OR(A26="",A26="!!!!!!"),B26="",C26=""),"",IF(OR(AND(B26="",C26=""),ISERROR(C26+B26)),"!!!",($B26*$B$7+$C26*$C$7)/100))</f>
        <v>0.0077</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4</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Vaucheria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1169</v>
      </c>
      <c r="R26" s="513" t="n">
        <f aca="false">IF(ISTEXT(H26),"",(B26*$B$7/100)+(C26*$C$7/100))</f>
        <v>0.0077</v>
      </c>
      <c r="S26" s="514" t="n">
        <f aca="false">IF(OR(ISTEXT(H26),R26=0),"",IF(R26&lt;0.1,1,IF(R26&lt;1,2,IF(R26&lt;10,3,IF(R26&lt;50,4,IF(R26&gt;=50,5,""))))))</f>
        <v>1</v>
      </c>
      <c r="T26" s="514" t="n">
        <f aca="false">IF(ISERROR(S26*J26),0,S26*J26)</f>
        <v>4</v>
      </c>
      <c r="U26" s="514" t="n">
        <f aca="false">IF(ISERROR(S26*J26*K26),0,S26*J26*K26)</f>
        <v>4</v>
      </c>
      <c r="V26" s="530" t="n">
        <f aca="false">IF(ISERROR(S26*K26),0,S26*K26)</f>
        <v>1</v>
      </c>
      <c r="W26" s="531"/>
      <c r="X26" s="532"/>
      <c r="Y26" s="517" t="str">
        <f aca="false">IF(AND(ISNUMBER(F26),OR(A26="",A26="!!!!!!")),"!!!!!!",IF(A26="new.cod","NEWCOD",IF(AND((Z26=""),ISTEXT(A26),A26&lt;&gt;"!!!!!!"),A26,IF(Z26="","",INDEX('liste reference'!$A$6:$A$1174,Z26)))))</f>
        <v>VAUSPX</v>
      </c>
      <c r="Z26" s="499" t="n">
        <f aca="false">IF(ISERROR(MATCH(A26,'liste reference'!$A$6:$A$1174,0)),IF(ISERROR(MATCH(A26,'liste reference'!$B$6:$B$1174,0)),"",(MATCH(A26,'liste reference'!$B$6:$B$1174,0))),(MATCH(A26,'liste reference'!$A$6:$A$1174,0)))</f>
        <v>118</v>
      </c>
    </row>
    <row r="27" customFormat="false" ht="12.75" hidden="false" customHeight="false" outlineLevel="0" collapsed="false">
      <c r="A27" s="518" t="s">
        <v>555</v>
      </c>
      <c r="B27" s="519" t="n">
        <v>1.5</v>
      </c>
      <c r="C27" s="520" t="n">
        <v>0.3</v>
      </c>
      <c r="D27" s="521" t="str">
        <f aca="false">IF(ISERROR(VLOOKUP($A27,'liste reference'!$A$6:$B$1174,2,0)),IF(ISERROR(VLOOKUP($A27,'liste reference'!$B$6:$B$1174,1,0)),"",VLOOKUP($A27,'liste reference'!$B$6:$B$1174,1,0)),VLOOKUP($A27,'liste reference'!$A$6:$B$1174,2,0))</f>
        <v>Pellia sp.</v>
      </c>
      <c r="E27" s="522" t="e">
        <f aca="false">IF(D27="",0,VLOOKUP(D27,D$22:D26,1,0))</f>
        <v>#N/A</v>
      </c>
      <c r="F27" s="523" t="n">
        <f aca="false">IF(AND(OR(A27="",A27="!!!!!!"),B27="",C27=""),"",IF(OR(AND(B27="",C27=""),ISERROR(C27+B27)),"!!!",($B27*$B$7+$C27*$C$7)/100))</f>
        <v>1.224</v>
      </c>
      <c r="G27" s="524" t="str">
        <f aca="false">IF(A27="","",IF(ISERROR(VLOOKUP($A27,'liste reference'!$A$6:$Q$1174,9,0)),IF(ISERROR(VLOOKUP($A27,'liste reference'!$B$6:$Q$1174,8,0)),"    -",VLOOKUP($A27,'liste reference'!$B$6:$Q$1174,8,0)),VLOOKUP($A27,'liste reference'!$A$6:$Q$1174,9,0)))</f>
        <v>BRh</v>
      </c>
      <c r="H27" s="525" t="n">
        <f aca="false">IF(A27="","x",IF(ISERROR(VLOOKUP($A27,'liste reference'!$A$6:$Q$1174,10,0)),IF(ISERROR(VLOOKUP($A27,'liste reference'!$B$6:$Q$1174,9,0)),"x",VLOOKUP($A27,'liste reference'!$B$6:$Q$1174,9,0)),VLOOKUP($A27,'liste reference'!$A$6:$Q$1174,10,0)))</f>
        <v>4</v>
      </c>
      <c r="I27" s="309" t="n">
        <f aca="false">IF(A27="","",1)</f>
        <v>1</v>
      </c>
      <c r="J27" s="526" t="str">
        <f aca="false">IF(ISNUMBER($H27),IF(ISERROR(VLOOKUP($A27,'liste reference'!$A$6:$Q$1174,6,0)),IF(ISERROR(VLOOKUP($A27,'liste reference'!$B$6:$Q$1174,5,0)),"nu",VLOOKUP($A27,'liste reference'!$B$6:$Q$1174,5,0)),VLOOKUP($A27,'liste reference'!$A$6:$Q$1174,6,0)),"nu")</f>
        <v>nc</v>
      </c>
      <c r="K27" s="526" t="str">
        <f aca="false">IF(ISNUMBER($H27),IF(ISERROR(VLOOKUP($A27,'liste reference'!$A$6:$Q$1174,7,0)),IF(ISERROR(VLOOKUP($A27,'liste reference'!$B$6:$Q$1174,6,0)),"nu",VLOOKUP($A27,'liste reference'!$B$6:$Q$1174,6,0)),VLOOKUP($A27,'liste reference'!$A$6:$Q$1174,7,0)),"nu")</f>
        <v>nc</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Pellia sp.</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1196</v>
      </c>
      <c r="R27" s="513" t="n">
        <f aca="false">IF(ISTEXT(H27),"",(B27*$B$7/100)+(C27*$C$7/100))</f>
        <v>1.224</v>
      </c>
      <c r="S27" s="514" t="n">
        <f aca="false">IF(OR(ISTEXT(H27),R27=0),"",IF(R27&lt;0.1,1,IF(R27&lt;1,2,IF(R27&lt;10,3,IF(R27&lt;50,4,IF(R27&gt;=50,5,""))))))</f>
        <v>3</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PELSPX</v>
      </c>
      <c r="Z27" s="499" t="n">
        <f aca="false">IF(ISERROR(MATCH(A27,'liste reference'!$A$6:$A$1174,0)),IF(ISERROR(MATCH(A27,'liste reference'!$B$6:$B$1174,0)),"",(MATCH(A27,'liste reference'!$B$6:$B$1174,0))),(MATCH(A27,'liste reference'!$A$6:$A$1174,0)))</f>
        <v>170</v>
      </c>
    </row>
    <row r="28" customFormat="false" ht="12.75" hidden="false" customHeight="false" outlineLevel="0" collapsed="false">
      <c r="A28" s="518" t="s">
        <v>702</v>
      </c>
      <c r="B28" s="519" t="n">
        <v>2</v>
      </c>
      <c r="C28" s="520"/>
      <c r="D28" s="521" t="str">
        <f aca="false">IF(ISERROR(VLOOKUP($A28,'liste reference'!$A$6:$B$1174,2,0)),IF(ISERROR(VLOOKUP($A28,'liste reference'!$B$6:$B$1174,1,0)),"",VLOOKUP($A28,'liste reference'!$B$6:$B$1174,1,0)),VLOOKUP($A28,'liste reference'!$A$6:$B$1174,2,0))</f>
        <v>Cinclidotus aquaticus</v>
      </c>
      <c r="E28" s="522" t="e">
        <f aca="false">IF(D28="",0,VLOOKUP(D28,D$22:D27,1,0))</f>
        <v>#N/A</v>
      </c>
      <c r="F28" s="523" t="n">
        <f aca="false">IF(AND(OR(A28="",A28="!!!!!!"),B28="",C28=""),"",IF(OR(AND(B28="",C28=""),ISERROR(C28+B28)),"!!!",($B28*$B$7+$C28*$C$7)/100))</f>
        <v>1.54</v>
      </c>
      <c r="G28" s="524" t="str">
        <f aca="false">IF(A28="","",IF(ISERROR(VLOOKUP($A28,'liste reference'!$A$6:$Q$1174,9,0)),IF(ISERROR(VLOOKUP($A28,'liste reference'!$B$6:$Q$1174,8,0)),"    -",VLOOKUP($A28,'liste reference'!$B$6:$Q$1174,8,0)),VLOOKUP($A28,'liste reference'!$A$6:$Q$1174,9,0)))</f>
        <v>BRm</v>
      </c>
      <c r="H28" s="525" t="n">
        <f aca="false">IF(A28="","x",IF(ISERROR(VLOOKUP($A28,'liste reference'!$A$6:$Q$1174,10,0)),IF(ISERROR(VLOOKUP($A28,'liste reference'!$B$6:$Q$1174,9,0)),"x",VLOOKUP($A28,'liste reference'!$B$6:$Q$1174,9,0)),VLOOKUP($A28,'liste reference'!$A$6:$Q$1174,10,0)))</f>
        <v>5</v>
      </c>
      <c r="I28" s="309" t="n">
        <f aca="false">IF(A28="","",1)</f>
        <v>1</v>
      </c>
      <c r="J28" s="526" t="n">
        <f aca="false">IF(ISNUMBER($H28),IF(ISERROR(VLOOKUP($A28,'liste reference'!$A$6:$Q$1174,6,0)),IF(ISERROR(VLOOKUP($A28,'liste reference'!$B$6:$Q$1174,5,0)),"nu",VLOOKUP($A28,'liste reference'!$B$6:$Q$1174,5,0)),VLOOKUP($A28,'liste reference'!$A$6:$Q$1174,6,0)),"nu")</f>
        <v>15</v>
      </c>
      <c r="K28" s="526" t="n">
        <f aca="false">IF(ISNUMBER($H28),IF(ISERROR(VLOOKUP($A28,'liste reference'!$A$6:$Q$1174,7,0)),IF(ISERROR(VLOOKUP($A28,'liste reference'!$B$6:$Q$1174,6,0)),"nu",VLOOKUP($A28,'liste reference'!$B$6:$Q$1174,6,0)),VLOOKUP($A28,'liste reference'!$A$6:$Q$1174,7,0)),"nu")</f>
        <v>2</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Cinclidotus aquaticus</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1318</v>
      </c>
      <c r="R28" s="513" t="n">
        <f aca="false">IF(ISTEXT(H28),"",(B28*$B$7/100)+(C28*$C$7/100))</f>
        <v>1.54</v>
      </c>
      <c r="S28" s="514" t="n">
        <f aca="false">IF(OR(ISTEXT(H28),R28=0),"",IF(R28&lt;0.1,1,IF(R28&lt;1,2,IF(R28&lt;10,3,IF(R28&lt;50,4,IF(R28&gt;=50,5,""))))))</f>
        <v>3</v>
      </c>
      <c r="T28" s="514" t="n">
        <f aca="false">IF(ISERROR(S28*J28),0,S28*J28)</f>
        <v>45</v>
      </c>
      <c r="U28" s="514" t="n">
        <f aca="false">IF(ISERROR(S28*J28*K28),0,S28*J28*K28)</f>
        <v>90</v>
      </c>
      <c r="V28" s="530" t="n">
        <f aca="false">IF(ISERROR(S28*K28),0,S28*K28)</f>
        <v>6</v>
      </c>
      <c r="W28" s="531"/>
      <c r="X28" s="532"/>
      <c r="Y28" s="517" t="str">
        <f aca="false">IF(AND(ISNUMBER(F28),OR(A28="",A28="!!!!!!")),"!!!!!!",IF(A28="new.cod","NEWCOD",IF(AND((Z28=""),ISTEXT(A28),A28&lt;&gt;"!!!!!!"),A28,IF(Z28="","",INDEX('liste reference'!$A$6:$A$1174,Z28)))))</f>
        <v>CINAQU</v>
      </c>
      <c r="Z28" s="499" t="n">
        <f aca="false">IF(ISERROR(MATCH(A28,'liste reference'!$A$6:$A$1174,0)),IF(ISERROR(MATCH(A28,'liste reference'!$B$6:$B$1174,0)),"",(MATCH(A28,'liste reference'!$B$6:$B$1174,0))),(MATCH(A28,'liste reference'!$A$6:$A$1174,0)))</f>
        <v>221</v>
      </c>
    </row>
    <row r="29" customFormat="false" ht="12.75" hidden="false" customHeight="false" outlineLevel="0" collapsed="false">
      <c r="A29" s="518" t="s">
        <v>710</v>
      </c>
      <c r="B29" s="519" t="n">
        <v>1.5</v>
      </c>
      <c r="C29" s="520"/>
      <c r="D29" s="521" t="str">
        <f aca="false">IF(ISERROR(VLOOKUP($A29,'liste reference'!$A$6:$B$1174,2,0)),IF(ISERROR(VLOOKUP($A29,'liste reference'!$B$6:$B$1174,1,0)),"",VLOOKUP($A29,'liste reference'!$B$6:$B$1174,1,0)),VLOOKUP($A29,'liste reference'!$A$6:$B$1174,2,0))</f>
        <v>Cinclidotus riparius</v>
      </c>
      <c r="E29" s="522" t="e">
        <f aca="false">IF(D29="",0,VLOOKUP(D29,D$22:D28,1,0))</f>
        <v>#N/A</v>
      </c>
      <c r="F29" s="523" t="n">
        <f aca="false">IF(AND(OR(A29="",A29="!!!!!!"),B29="",C29=""),"",IF(OR(AND(B29="",C29=""),ISERROR(C29+B29)),"!!!",($B29*$B$7+$C29*$C$7)/100))</f>
        <v>1.155</v>
      </c>
      <c r="G29" s="524" t="str">
        <f aca="false">IF(A29="","",IF(ISERROR(VLOOKUP($A29,'liste reference'!$A$6:$Q$1174,9,0)),IF(ISERROR(VLOOKUP($A29,'liste reference'!$B$6:$Q$1174,8,0)),"    -",VLOOKUP($A29,'liste reference'!$B$6:$Q$1174,8,0)),VLOOKUP($A29,'liste reference'!$A$6:$Q$1174,9,0)))</f>
        <v>BRm</v>
      </c>
      <c r="H29" s="525" t="n">
        <f aca="false">IF(A29="","x",IF(ISERROR(VLOOKUP($A29,'liste reference'!$A$6:$Q$1174,10,0)),IF(ISERROR(VLOOKUP($A29,'liste reference'!$B$6:$Q$1174,9,0)),"x",VLOOKUP($A29,'liste reference'!$B$6:$Q$1174,9,0)),VLOOKUP($A29,'liste reference'!$A$6:$Q$1174,10,0)))</f>
        <v>5</v>
      </c>
      <c r="I29" s="309" t="n">
        <f aca="false">IF(A29="","",1)</f>
        <v>1</v>
      </c>
      <c r="J29" s="526" t="n">
        <f aca="false">IF(ISNUMBER($H29),IF(ISERROR(VLOOKUP($A29,'liste reference'!$A$6:$Q$1174,6,0)),IF(ISERROR(VLOOKUP($A29,'liste reference'!$B$6:$Q$1174,5,0)),"nu",VLOOKUP($A29,'liste reference'!$B$6:$Q$1174,5,0)),VLOOKUP($A29,'liste reference'!$A$6:$Q$1174,6,0)),"nu")</f>
        <v>13</v>
      </c>
      <c r="K29" s="526" t="n">
        <f aca="false">IF(ISNUMBER($H29),IF(ISERROR(VLOOKUP($A29,'liste reference'!$A$6:$Q$1174,7,0)),IF(ISERROR(VLOOKUP($A29,'liste reference'!$B$6:$Q$1174,6,0)),"nu",VLOOKUP($A29,'liste reference'!$B$6:$Q$1174,6,0)),VLOOKUP($A29,'liste reference'!$A$6:$Q$1174,7,0)),"nu")</f>
        <v>2</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Cinclidotus riparius</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1321</v>
      </c>
      <c r="R29" s="513" t="n">
        <f aca="false">IF(ISTEXT(H29),"",(B29*$B$7/100)+(C29*$C$7/100))</f>
        <v>1.155</v>
      </c>
      <c r="S29" s="514" t="n">
        <f aca="false">IF(OR(ISTEXT(H29),R29=0),"",IF(R29&lt;0.1,1,IF(R29&lt;1,2,IF(R29&lt;10,3,IF(R29&lt;50,4,IF(R29&gt;=50,5,""))))))</f>
        <v>3</v>
      </c>
      <c r="T29" s="514" t="n">
        <f aca="false">IF(ISERROR(S29*J29),0,S29*J29)</f>
        <v>39</v>
      </c>
      <c r="U29" s="514" t="n">
        <f aca="false">IF(ISERROR(S29*J29*K29),0,S29*J29*K29)</f>
        <v>78</v>
      </c>
      <c r="V29" s="530" t="n">
        <f aca="false">IF(ISERROR(S29*K29),0,S29*K29)</f>
        <v>6</v>
      </c>
      <c r="W29" s="531"/>
      <c r="X29" s="532"/>
      <c r="Y29" s="517" t="str">
        <f aca="false">IF(AND(ISNUMBER(F29),OR(A29="",A29="!!!!!!")),"!!!!!!",IF(A29="new.cod","NEWCOD",IF(AND((Z29=""),ISTEXT(A29),A29&lt;&gt;"!!!!!!"),A29,IF(Z29="","",INDEX('liste reference'!$A$6:$A$1174,Z29)))))</f>
        <v>CINRIP</v>
      </c>
      <c r="Z29" s="499" t="n">
        <f aca="false">IF(ISERROR(MATCH(A29,'liste reference'!$A$6:$A$1174,0)),IF(ISERROR(MATCH(A29,'liste reference'!$B$6:$B$1174,0)),"",(MATCH(A29,'liste reference'!$B$6:$B$1174,0))),(MATCH(A29,'liste reference'!$A$6:$A$1174,0)))</f>
        <v>224</v>
      </c>
    </row>
    <row r="30" customFormat="false" ht="12.75" hidden="false" customHeight="false" outlineLevel="0" collapsed="false">
      <c r="A30" s="518" t="s">
        <v>721</v>
      </c>
      <c r="B30" s="519" t="n">
        <v>0.01</v>
      </c>
      <c r="C30" s="520"/>
      <c r="D30" s="521" t="str">
        <f aca="false">IF(ISERROR(VLOOKUP($A30,'liste reference'!$A$6:$B$1174,2,0)),IF(ISERROR(VLOOKUP($A30,'liste reference'!$B$6:$B$1174,1,0)),"",VLOOKUP($A30,'liste reference'!$B$6:$B$1174,1,0)),VLOOKUP($A30,'liste reference'!$A$6:$B$1174,2,0))</f>
        <v>Cratoneuron filicinum</v>
      </c>
      <c r="E30" s="522" t="e">
        <f aca="false">IF(D30="",0,VLOOKUP(D30,D$22:D29,1,0))</f>
        <v>#N/A</v>
      </c>
      <c r="F30" s="523" t="n">
        <f aca="false">IF(AND(OR(A30="",A30="!!!!!!"),B30="",C30=""),"",IF(OR(AND(B30="",C30=""),ISERROR(C30+B30)),"!!!",($B30*$B$7+$C30*$C$7)/100))</f>
        <v>0.0077</v>
      </c>
      <c r="G30" s="524" t="str">
        <f aca="false">IF(A30="","",IF(ISERROR(VLOOKUP($A30,'liste reference'!$A$6:$Q$1174,9,0)),IF(ISERROR(VLOOKUP($A30,'liste reference'!$B$6:$Q$1174,8,0)),"    -",VLOOKUP($A30,'liste reference'!$B$6:$Q$1174,8,0)),VLOOKUP($A30,'liste reference'!$A$6:$Q$1174,9,0)))</f>
        <v>BRm</v>
      </c>
      <c r="H30" s="525" t="n">
        <f aca="false">IF(A30="","x",IF(ISERROR(VLOOKUP($A30,'liste reference'!$A$6:$Q$1174,10,0)),IF(ISERROR(VLOOKUP($A30,'liste reference'!$B$6:$Q$1174,9,0)),"x",VLOOKUP($A30,'liste reference'!$B$6:$Q$1174,9,0)),VLOOKUP($A30,'liste reference'!$A$6:$Q$1174,10,0)))</f>
        <v>5</v>
      </c>
      <c r="I30" s="309" t="n">
        <f aca="false">IF(A30="","",1)</f>
        <v>1</v>
      </c>
      <c r="J30" s="526" t="n">
        <f aca="false">IF(ISNUMBER($H30),IF(ISERROR(VLOOKUP($A30,'liste reference'!$A$6:$Q$1174,6,0)),IF(ISERROR(VLOOKUP($A30,'liste reference'!$B$6:$Q$1174,5,0)),"nu",VLOOKUP($A30,'liste reference'!$B$6:$Q$1174,5,0)),VLOOKUP($A30,'liste reference'!$A$6:$Q$1174,6,0)),"nu")</f>
        <v>18</v>
      </c>
      <c r="K30" s="526" t="n">
        <f aca="false">IF(ISNUMBER($H30),IF(ISERROR(VLOOKUP($A30,'liste reference'!$A$6:$Q$1174,7,0)),IF(ISERROR(VLOOKUP($A30,'liste reference'!$B$6:$Q$1174,6,0)),"nu",VLOOKUP($A30,'liste reference'!$B$6:$Q$1174,6,0)),VLOOKUP($A30,'liste reference'!$A$6:$Q$1174,7,0)),"nu")</f>
        <v>3</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Cratoneuron filicinum</v>
      </c>
      <c r="M30" s="527"/>
      <c r="N30" s="527"/>
      <c r="O30" s="527"/>
      <c r="P30" s="528" t="s">
        <v>3442</v>
      </c>
      <c r="Q30" s="529" t="n">
        <f aca="false">IF(OR($A30="NEWCOD",$A30="!!!!!!"),IF(X30="","NoCod",X30),IF($A30="","",IF(ISERROR(VLOOKUP($A30,'liste reference'!$A$6:$H$1174,8,FALSE())),IF(ISERROR(VLOOKUP($A30,'liste reference'!$B$6:$H$1174,7,FALSE())),"",VLOOKUP($A30,'liste reference'!$B$6:$H$1174,7,FALSE())),VLOOKUP($A30,'liste reference'!$A$6:$H$1174,8,FALSE()))))</f>
        <v>1233</v>
      </c>
      <c r="R30" s="513" t="n">
        <f aca="false">IF(ISTEXT(H30),"",(B30*$B$7/100)+(C30*$C$7/100))</f>
        <v>0.0077</v>
      </c>
      <c r="S30" s="514" t="n">
        <f aca="false">IF(OR(ISTEXT(H30),R30=0),"",IF(R30&lt;0.1,1,IF(R30&lt;1,2,IF(R30&lt;10,3,IF(R30&lt;50,4,IF(R30&gt;=50,5,""))))))</f>
        <v>1</v>
      </c>
      <c r="T30" s="514" t="n">
        <f aca="false">IF(ISERROR(S30*J30),0,S30*J30)</f>
        <v>18</v>
      </c>
      <c r="U30" s="514" t="n">
        <f aca="false">IF(ISERROR(S30*J30*K30),0,S30*J30*K30)</f>
        <v>54</v>
      </c>
      <c r="V30" s="530" t="n">
        <f aca="false">IF(ISERROR(S30*K30),0,S30*K30)</f>
        <v>3</v>
      </c>
      <c r="W30" s="531"/>
      <c r="X30" s="532"/>
      <c r="Y30" s="517" t="str">
        <f aca="false">IF(AND(ISNUMBER(F30),OR(A30="",A30="!!!!!!")),"!!!!!!",IF(A30="new.cod","NEWCOD",IF(AND((Z30=""),ISTEXT(A30),A30&lt;&gt;"!!!!!!"),A30,IF(Z30="","",INDEX('liste reference'!$A$6:$A$1174,Z30)))))</f>
        <v>CRAFIL</v>
      </c>
      <c r="Z30" s="499" t="n">
        <f aca="false">IF(ISERROR(MATCH(A30,'liste reference'!$A$6:$A$1174,0)),IF(ISERROR(MATCH(A30,'liste reference'!$B$6:$B$1174,0)),"",(MATCH(A30,'liste reference'!$B$6:$B$1174,0))),(MATCH(A30,'liste reference'!$A$6:$A$1174,0)))</f>
        <v>227</v>
      </c>
    </row>
    <row r="31" customFormat="false" ht="12.75" hidden="false" customHeight="false" outlineLevel="0" collapsed="false">
      <c r="A31" s="518" t="s">
        <v>828</v>
      </c>
      <c r="B31" s="519" t="n">
        <v>2</v>
      </c>
      <c r="C31" s="520" t="n">
        <v>0.1</v>
      </c>
      <c r="D31" s="521" t="str">
        <f aca="false">IF(ISERROR(VLOOKUP($A31,'liste reference'!$A$6:$B$1174,2,0)),IF(ISERROR(VLOOKUP($A31,'liste reference'!$B$6:$B$1174,1,0)),"",VLOOKUP($A31,'liste reference'!$B$6:$B$1174,1,0)),VLOOKUP($A31,'liste reference'!$A$6:$B$1174,2,0))</f>
        <v>Fissidens crassipes</v>
      </c>
      <c r="E31" s="522" t="e">
        <f aca="false">IF(D31="",0,VLOOKUP(D31,D$22:D30,1,0))</f>
        <v>#N/A</v>
      </c>
      <c r="F31" s="523" t="n">
        <f aca="false">IF(AND(OR(A31="",A31="!!!!!!"),B31="",C31=""),"",IF(OR(AND(B31="",C31=""),ISERROR(C31+B31)),"!!!",($B31*$B$7+$C31*$C$7)/100))</f>
        <v>1.563</v>
      </c>
      <c r="G31" s="524" t="str">
        <f aca="false">IF(A31="","",IF(ISERROR(VLOOKUP($A31,'liste reference'!$A$6:$Q$1174,9,0)),IF(ISERROR(VLOOKUP($A31,'liste reference'!$B$6:$Q$1174,8,0)),"    -",VLOOKUP($A31,'liste reference'!$B$6:$Q$1174,8,0)),VLOOKUP($A31,'liste reference'!$A$6:$Q$1174,9,0)))</f>
        <v>BRm</v>
      </c>
      <c r="H31" s="525" t="n">
        <f aca="false">IF(A31="","x",IF(ISERROR(VLOOKUP($A31,'liste reference'!$A$6:$Q$1174,10,0)),IF(ISERROR(VLOOKUP($A31,'liste reference'!$B$6:$Q$1174,9,0)),"x",VLOOKUP($A31,'liste reference'!$B$6:$Q$1174,9,0)),VLOOKUP($A31,'liste reference'!$A$6:$Q$1174,10,0)))</f>
        <v>5</v>
      </c>
      <c r="I31" s="309" t="n">
        <f aca="false">IF(A31="","",1)</f>
        <v>1</v>
      </c>
      <c r="J31" s="526" t="n">
        <f aca="false">IF(ISNUMBER($H31),IF(ISERROR(VLOOKUP($A31,'liste reference'!$A$6:$Q$1174,6,0)),IF(ISERROR(VLOOKUP($A31,'liste reference'!$B$6:$Q$1174,5,0)),"nu",VLOOKUP($A31,'liste reference'!$B$6:$Q$1174,5,0)),VLOOKUP($A31,'liste reference'!$A$6:$Q$1174,6,0)),"nu")</f>
        <v>12</v>
      </c>
      <c r="K31" s="526" t="n">
        <f aca="false">IF(ISNUMBER($H31),IF(ISERROR(VLOOKUP($A31,'liste reference'!$A$6:$Q$1174,7,0)),IF(ISERROR(VLOOKUP($A31,'liste reference'!$B$6:$Q$1174,6,0)),"nu",VLOOKUP($A31,'liste reference'!$B$6:$Q$1174,6,0)),VLOOKUP($A31,'liste reference'!$A$6:$Q$1174,7,0)),"nu")</f>
        <v>2</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Fissidens crassipes</v>
      </c>
      <c r="M31" s="527"/>
      <c r="N31" s="527"/>
      <c r="O31" s="527"/>
      <c r="P31" s="528" t="s">
        <v>3442</v>
      </c>
      <c r="Q31" s="529" t="n">
        <f aca="false">IF(OR($A31="NEWCOD",$A31="!!!!!!"),IF(X31="","NoCod",X31),IF($A31="","",IF(ISERROR(VLOOKUP($A31,'liste reference'!$A$6:$H$1174,8,FALSE())),IF(ISERROR(VLOOKUP($A31,'liste reference'!$B$6:$H$1174,7,FALSE())),"",VLOOKUP($A31,'liste reference'!$B$6:$H$1174,7,FALSE())),VLOOKUP($A31,'liste reference'!$A$6:$H$1174,8,FALSE()))))</f>
        <v>1294</v>
      </c>
      <c r="R31" s="513" t="n">
        <f aca="false">IF(ISTEXT(H31),"",(B31*$B$7/100)+(C31*$C$7/100))</f>
        <v>1.563</v>
      </c>
      <c r="S31" s="514" t="n">
        <f aca="false">IF(OR(ISTEXT(H31),R31=0),"",IF(R31&lt;0.1,1,IF(R31&lt;1,2,IF(R31&lt;10,3,IF(R31&lt;50,4,IF(R31&gt;=50,5,""))))))</f>
        <v>3</v>
      </c>
      <c r="T31" s="514" t="n">
        <f aca="false">IF(ISERROR(S31*J31),0,S31*J31)</f>
        <v>36</v>
      </c>
      <c r="U31" s="514" t="n">
        <f aca="false">IF(ISERROR(S31*J31*K31),0,S31*J31*K31)</f>
        <v>72</v>
      </c>
      <c r="V31" s="530" t="n">
        <f aca="false">IF(ISERROR(S31*K31),0,S31*K31)</f>
        <v>6</v>
      </c>
      <c r="W31" s="531"/>
      <c r="X31" s="532"/>
      <c r="Y31" s="517" t="str">
        <f aca="false">IF(AND(ISNUMBER(F31),OR(A31="",A31="!!!!!!")),"!!!!!!",IF(A31="new.cod","NEWCOD",IF(AND((Z31=""),ISTEXT(A31),A31&lt;&gt;"!!!!!!"),A31,IF(Z31="","",INDEX('liste reference'!$A$6:$A$1174,Z31)))))</f>
        <v>FISCRA</v>
      </c>
      <c r="Z31" s="499" t="n">
        <f aca="false">IF(ISERROR(MATCH(A31,'liste reference'!$A$6:$A$1174,0)),IF(ISERROR(MATCH(A31,'liste reference'!$B$6:$B$1174,0)),"",(MATCH(A31,'liste reference'!$B$6:$B$1174,0))),(MATCH(A31,'liste reference'!$A$6:$A$1174,0)))</f>
        <v>255</v>
      </c>
    </row>
    <row r="32" customFormat="false" ht="12.75" hidden="false" customHeight="false" outlineLevel="0" collapsed="false">
      <c r="A32" s="518" t="s">
        <v>1120</v>
      </c>
      <c r="B32" s="519" t="n">
        <v>1</v>
      </c>
      <c r="C32" s="520"/>
      <c r="D32" s="521" t="str">
        <f aca="false">IF(ISERROR(VLOOKUP($A32,'liste reference'!$A$6:$B$1174,2,0)),IF(ISERROR(VLOOKUP($A32,'liste reference'!$B$6:$B$1174,1,0)),"",VLOOKUP($A32,'liste reference'!$B$6:$B$1174,1,0)),VLOOKUP($A32,'liste reference'!$A$6:$B$1174,2,0))</f>
        <v>Rhynchostegium riparioides</v>
      </c>
      <c r="E32" s="522" t="e">
        <f aca="false">IF(D32="",0,VLOOKUP(D32,D$22:D31,1,0))</f>
        <v>#N/A</v>
      </c>
      <c r="F32" s="523" t="n">
        <f aca="false">IF(AND(OR(A32="",A32="!!!!!!"),B32="",C32=""),"",IF(OR(AND(B32="",C32=""),ISERROR(C32+B32)),"!!!",($B32*$B$7+$C32*$C$7)/100))</f>
        <v>0.77</v>
      </c>
      <c r="G32" s="524" t="str">
        <f aca="false">IF(A32="","",IF(ISERROR(VLOOKUP($A32,'liste reference'!$A$6:$Q$1174,9,0)),IF(ISERROR(VLOOKUP($A32,'liste reference'!$B$6:$Q$1174,8,0)),"    -",VLOOKUP($A32,'liste reference'!$B$6:$Q$1174,8,0)),VLOOKUP($A32,'liste reference'!$A$6:$Q$1174,9,0)))</f>
        <v>BRm</v>
      </c>
      <c r="H32" s="525" t="n">
        <f aca="false">IF(A32="","x",IF(ISERROR(VLOOKUP($A32,'liste reference'!$A$6:$Q$1174,10,0)),IF(ISERROR(VLOOKUP($A32,'liste reference'!$B$6:$Q$1174,9,0)),"x",VLOOKUP($A32,'liste reference'!$B$6:$Q$1174,9,0)),VLOOKUP($A32,'liste reference'!$A$6:$Q$1174,10,0)))</f>
        <v>5</v>
      </c>
      <c r="I32" s="309" t="n">
        <f aca="false">IF(A32="","",1)</f>
        <v>1</v>
      </c>
      <c r="J32" s="526" t="n">
        <f aca="false">IF(ISNUMBER($H32),IF(ISERROR(VLOOKUP($A32,'liste reference'!$A$6:$Q$1174,6,0)),IF(ISERROR(VLOOKUP($A32,'liste reference'!$B$6:$Q$1174,5,0)),"nu",VLOOKUP($A32,'liste reference'!$B$6:$Q$1174,5,0)),VLOOKUP($A32,'liste reference'!$A$6:$Q$1174,6,0)),"nu")</f>
        <v>12</v>
      </c>
      <c r="K32" s="526" t="n">
        <f aca="false">IF(ISNUMBER($H32),IF(ISERROR(VLOOKUP($A32,'liste reference'!$A$6:$Q$1174,7,0)),IF(ISERROR(VLOOKUP($A32,'liste reference'!$B$6:$Q$1174,6,0)),"nu",VLOOKUP($A32,'liste reference'!$B$6:$Q$1174,6,0)),VLOOKUP($A32,'liste reference'!$A$6:$Q$1174,7,0)),"nu")</f>
        <v>1</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Rhynchostegium riparioides</v>
      </c>
      <c r="M32" s="527"/>
      <c r="N32" s="527"/>
      <c r="O32" s="527"/>
      <c r="P32" s="528" t="s">
        <v>3442</v>
      </c>
      <c r="Q32" s="529" t="n">
        <f aca="false">IF(OR($A32="NEWCOD",$A32="!!!!!!"),IF(X32="","NoCod",X32),IF($A32="","",IF(ISERROR(VLOOKUP($A32,'liste reference'!$A$6:$H$1174,8,FALSE())),IF(ISERROR(VLOOKUP($A32,'liste reference'!$B$6:$H$1174,7,FALSE())),"",VLOOKUP($A32,'liste reference'!$B$6:$H$1174,7,FALSE())),VLOOKUP($A32,'liste reference'!$A$6:$H$1174,8,FALSE()))))</f>
        <v>31691</v>
      </c>
      <c r="R32" s="513" t="n">
        <f aca="false">IF(ISTEXT(H32),"",(B32*$B$7/100)+(C32*$C$7/100))</f>
        <v>0.77</v>
      </c>
      <c r="S32" s="514" t="n">
        <f aca="false">IF(OR(ISTEXT(H32),R32=0),"",IF(R32&lt;0.1,1,IF(R32&lt;1,2,IF(R32&lt;10,3,IF(R32&lt;50,4,IF(R32&gt;=50,5,""))))))</f>
        <v>2</v>
      </c>
      <c r="T32" s="514" t="n">
        <f aca="false">IF(ISERROR(S32*J32),0,S32*J32)</f>
        <v>24</v>
      </c>
      <c r="U32" s="514" t="n">
        <f aca="false">IF(ISERROR(S32*J32*K32),0,S32*J32*K32)</f>
        <v>24</v>
      </c>
      <c r="V32" s="530" t="n">
        <f aca="false">IF(ISERROR(S32*K32),0,S32*K32)</f>
        <v>2</v>
      </c>
      <c r="W32" s="531"/>
      <c r="X32" s="532"/>
      <c r="Y32" s="517" t="str">
        <f aca="false">IF(AND(ISNUMBER(F32),OR(A32="",A32="!!!!!!")),"!!!!!!",IF(A32="new.cod","NEWCOD",IF(AND((Z32=""),ISTEXT(A32),A32&lt;&gt;"!!!!!!"),A32,IF(Z32="","",INDEX('liste reference'!$A$6:$A$1174,Z32)))))</f>
        <v>RHYRIP</v>
      </c>
      <c r="Z32" s="499" t="n">
        <f aca="false">IF(ISERROR(MATCH(A32,'liste reference'!$A$6:$A$1174,0)),IF(ISERROR(MATCH(A32,'liste reference'!$B$6:$B$1174,0)),"",(MATCH(A32,'liste reference'!$B$6:$B$1174,0))),(MATCH(A32,'liste reference'!$A$6:$A$1174,0)))</f>
        <v>345</v>
      </c>
    </row>
    <row r="33" customFormat="false" ht="12.75" hidden="false" customHeight="false" outlineLevel="0" collapsed="false">
      <c r="A33" s="518" t="s">
        <v>2477</v>
      </c>
      <c r="B33" s="519"/>
      <c r="C33" s="520" t="n">
        <v>0.005</v>
      </c>
      <c r="D33" s="521" t="str">
        <f aca="false">IF(ISERROR(VLOOKUP($A33,'liste reference'!$A$6:$B$1174,2,0)),IF(ISERROR(VLOOKUP($A33,'liste reference'!$B$6:$B$1174,1,0)),"",VLOOKUP($A33,'liste reference'!$B$6:$B$1174,1,0)),VLOOKUP($A33,'liste reference'!$A$6:$B$1174,2,0))</f>
        <v>Cyperus longus</v>
      </c>
      <c r="E33" s="522" t="e">
        <f aca="false">IF(D33="",0,VLOOKUP(D33,D$22:D32,1,0))</f>
        <v>#N/A</v>
      </c>
      <c r="F33" s="523" t="n">
        <f aca="false">IF(AND(OR(A33="",A33="!!!!!!"),B33="",C33=""),"",IF(OR(AND(B33="",C33=""),ISERROR(C33+B33)),"!!!",($B33*$B$7+$C33*$C$7)/100))</f>
        <v>0.00115</v>
      </c>
      <c r="G33" s="524" t="str">
        <f aca="false">IF(A33="","",IF(ISERROR(VLOOKUP($A33,'liste reference'!$A$6:$Q$1174,9,0)),IF(ISERROR(VLOOKUP($A33,'liste reference'!$B$6:$Q$1174,8,0)),"    -",VLOOKUP($A33,'liste reference'!$B$6:$Q$1174,8,0)),VLOOKUP($A33,'liste reference'!$A$6:$Q$1174,9,0)))</f>
        <v>PHg</v>
      </c>
      <c r="H33" s="525" t="n">
        <f aca="false">IF(A33="","x",IF(ISERROR(VLOOKUP($A33,'liste reference'!$A$6:$Q$1174,10,0)),IF(ISERROR(VLOOKUP($A33,'liste reference'!$B$6:$Q$1174,9,0)),"x",VLOOKUP($A33,'liste reference'!$B$6:$Q$1174,9,0)),VLOOKUP($A33,'liste reference'!$A$6:$Q$1174,10,0)))</f>
        <v>9</v>
      </c>
      <c r="I33" s="309" t="n">
        <f aca="false">IF(A33="","",1)</f>
        <v>1</v>
      </c>
      <c r="J33" s="526" t="str">
        <f aca="false">IF(ISNUMBER($H33),IF(ISERROR(VLOOKUP($A33,'liste reference'!$A$6:$Q$1174,6,0)),IF(ISERROR(VLOOKUP($A33,'liste reference'!$B$6:$Q$1174,5,0)),"nu",VLOOKUP($A33,'liste reference'!$B$6:$Q$1174,5,0)),VLOOKUP($A33,'liste reference'!$A$6:$Q$1174,6,0)),"nu")</f>
        <v>nc</v>
      </c>
      <c r="K33" s="526" t="str">
        <f aca="false">IF(ISNUMBER($H33),IF(ISERROR(VLOOKUP($A33,'liste reference'!$A$6:$Q$1174,7,0)),IF(ISERROR(VLOOKUP($A33,'liste reference'!$B$6:$Q$1174,6,0)),"nu",VLOOKUP($A33,'liste reference'!$B$6:$Q$1174,6,0)),VLOOKUP($A33,'liste reference'!$A$6:$Q$1174,7,0)),"nu")</f>
        <v>nc</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Cyperus longus</v>
      </c>
      <c r="M33" s="527"/>
      <c r="N33" s="527"/>
      <c r="O33" s="527"/>
      <c r="P33" s="528" t="s">
        <v>3462</v>
      </c>
      <c r="Q33" s="529" t="n">
        <f aca="false">IF(OR($A33="NEWCOD",$A33="!!!!!!"),IF(X33="","NoCod",X33),IF($A33="","",IF(ISERROR(VLOOKUP($A33,'liste reference'!$A$6:$H$1174,8,FALSE())),IF(ISERROR(VLOOKUP($A33,'liste reference'!$B$6:$H$1174,7,FALSE())),"",VLOOKUP($A33,'liste reference'!$B$6:$H$1174,7,FALSE())),VLOOKUP($A33,'liste reference'!$A$6:$H$1174,8,FALSE()))))</f>
        <v>1500</v>
      </c>
      <c r="R33" s="513" t="n">
        <f aca="false">IF(ISTEXT(H33),"",(B33*$B$7/100)+(C33*$C$7/100))</f>
        <v>0.00115</v>
      </c>
      <c r="S33" s="514" t="n">
        <f aca="false">IF(OR(ISTEXT(H33),R33=0),"",IF(R33&lt;0.1,1,IF(R33&lt;1,2,IF(R33&lt;10,3,IF(R33&lt;50,4,IF(R33&gt;=50,5,""))))))</f>
        <v>1</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CYPLON</v>
      </c>
      <c r="Z33" s="499" t="n">
        <f aca="false">IF(ISERROR(MATCH(A33,'liste reference'!$A$6:$A$1174,0)),IF(ISERROR(MATCH(A33,'liste reference'!$B$6:$B$1174,0)),"",(MATCH(A33,'liste reference'!$B$6:$B$1174,0))),(MATCH(A33,'liste reference'!$A$6:$A$1174,0)))</f>
        <v>825</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7.1194</v>
      </c>
      <c r="G83" s="452"/>
      <c r="H83" s="452"/>
      <c r="I83" s="452"/>
      <c r="J83" s="452"/>
      <c r="K83" s="452"/>
      <c r="L83" s="452"/>
      <c r="M83" s="514"/>
      <c r="N83" s="514"/>
      <c r="O83" s="514"/>
      <c r="P83" s="514"/>
      <c r="Q83" s="514"/>
      <c r="R83" s="514"/>
      <c r="S83" s="514"/>
      <c r="T83" s="514"/>
      <c r="U83" s="514"/>
      <c r="V83" s="514" t="n">
        <f aca="false">SUM(V23:V82)</f>
        <v>29</v>
      </c>
      <c r="W83" s="514"/>
      <c r="X83" s="552"/>
      <c r="Y83" s="552"/>
      <c r="Z83" s="553"/>
    </row>
    <row r="84" customFormat="false" ht="12.75" hidden="true" customHeight="false" outlineLevel="0" collapsed="false">
      <c r="A84" s="547" t="str">
        <f aca="false">A3</f>
        <v>Gapeau</v>
      </c>
      <c r="B84" s="481" t="str">
        <f aca="false">C3</f>
        <v>Belgentier</v>
      </c>
      <c r="C84" s="554" t="str">
        <f aca="false">A4</f>
        <v>(Date)</v>
      </c>
      <c r="D84" s="555" t="n">
        <f aca="false">IF(OR(ISERROR(SUM($U$23:$U$82)/SUM($V$23:$V$82)),F7&lt;&gt;100),-1,SUM($U$23:$U$82)/SUM($V$23:$V$82))</f>
        <v>12.8620689655172</v>
      </c>
      <c r="E84" s="556" t="n">
        <f aca="false">O13</f>
        <v>11</v>
      </c>
      <c r="F84" s="481" t="n">
        <f aca="false">O14</f>
        <v>9</v>
      </c>
      <c r="G84" s="481" t="n">
        <f aca="false">O15</f>
        <v>4</v>
      </c>
      <c r="H84" s="481" t="n">
        <f aca="false">O16</f>
        <v>4</v>
      </c>
      <c r="I84" s="481" t="n">
        <f aca="false">O17</f>
        <v>1</v>
      </c>
      <c r="J84" s="557" t="n">
        <f aca="false">O8</f>
        <v>11.5555555555556</v>
      </c>
      <c r="K84" s="558" t="n">
        <f aca="false">O9</f>
        <v>4.24554959434284</v>
      </c>
      <c r="L84" s="559" t="n">
        <f aca="false">O10</f>
        <v>4</v>
      </c>
      <c r="M84" s="559" t="n">
        <f aca="false">O11</f>
        <v>18</v>
      </c>
      <c r="N84" s="558" t="n">
        <f aca="false">P8</f>
        <v>1.66666666666667</v>
      </c>
      <c r="O84" s="558" t="n">
        <f aca="false">P9</f>
        <v>0.666666666666667</v>
      </c>
      <c r="P84" s="559" t="n">
        <f aca="false">P10</f>
        <v>1</v>
      </c>
      <c r="Q84" s="559" t="n">
        <f aca="false">P11</f>
        <v>3</v>
      </c>
      <c r="R84" s="559" t="n">
        <f aca="false">F21</f>
        <v>7.1194</v>
      </c>
      <c r="S84" s="559" t="n">
        <f aca="false">L11</f>
        <v>0</v>
      </c>
      <c r="T84" s="559" t="n">
        <f aca="false">L12</f>
        <v>4</v>
      </c>
      <c r="U84" s="559" t="n">
        <f aca="false">L13</f>
        <v>6</v>
      </c>
      <c r="V84" s="560" t="n">
        <f aca="false">L15</f>
        <v>1</v>
      </c>
      <c r="W84" s="561" t="n">
        <f aca="false">L15</f>
        <v>1</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45</v>
      </c>
      <c r="U87" s="309"/>
      <c r="V87" s="309"/>
    </row>
    <row r="88" customFormat="false" ht="12.75" hidden="true" customHeight="false" outlineLevel="0" collapsed="false">
      <c r="C88" s="563"/>
      <c r="D88" s="563"/>
      <c r="E88" s="563"/>
      <c r="R88" s="309" t="s">
        <v>3445</v>
      </c>
      <c r="S88" s="309"/>
      <c r="T88" s="565" t="n">
        <f aca="false">VLOOKUP($T$91,($A$23:$U$82),21,FALSE())</f>
        <v>90</v>
      </c>
      <c r="U88" s="309"/>
      <c r="V88" s="309" t="n">
        <f aca="false">COUNTIF(V23:V82,T89)</f>
        <v>3</v>
      </c>
    </row>
    <row r="89" customFormat="false" ht="12.75" hidden="true" customHeight="false" outlineLevel="0" collapsed="false">
      <c r="C89" s="563"/>
      <c r="D89" s="563"/>
      <c r="E89" s="563"/>
      <c r="R89" s="309" t="s">
        <v>3446</v>
      </c>
      <c r="S89" s="309"/>
      <c r="T89" s="565" t="n">
        <f aca="false">MAX($V$23:$V$82)</f>
        <v>6</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12.304347826087</v>
      </c>
      <c r="U90" s="309" t="n">
        <f aca="false">IF(ISERROR(T90),0,1)</f>
        <v>1</v>
      </c>
    </row>
    <row r="91" customFormat="false" ht="12.75" hidden="true" customHeight="false" outlineLevel="0" collapsed="false">
      <c r="C91" s="563"/>
      <c r="D91" s="563"/>
      <c r="E91" s="563"/>
      <c r="R91" s="514" t="s">
        <v>3449</v>
      </c>
      <c r="S91" s="514"/>
      <c r="T91" s="514" t="str">
        <f aca="false">INDEX('liste reference'!$A$6:$A$1174,$U$91)</f>
        <v>CINAQU</v>
      </c>
      <c r="U91" s="309" t="n">
        <f aca="false">IF(ISERROR(MATCH($T$93,'liste reference'!$A$6:$A$1174,0)),MATCH($T$93,'liste reference'!$B$6:$B$1174,0),(MATCH($T$93,'liste reference'!$A$6:$A$1174,0)))</f>
        <v>221</v>
      </c>
      <c r="V91" s="567"/>
    </row>
    <row r="92" customFormat="false" ht="12.75" hidden="true" customHeight="false" outlineLevel="0" collapsed="false">
      <c r="C92" s="563"/>
      <c r="D92" s="563"/>
      <c r="E92" s="563"/>
      <c r="R92" s="309" t="s">
        <v>3450</v>
      </c>
      <c r="S92" s="309"/>
      <c r="T92" s="309" t="n">
        <f aca="false">MATCH(T89,$V$23:$V$82,0)</f>
        <v>6</v>
      </c>
      <c r="U92" s="309"/>
    </row>
    <row r="93" customFormat="false" ht="12.75" hidden="true" customHeight="false" outlineLevel="0" collapsed="false">
      <c r="C93" s="563"/>
      <c r="D93" s="563"/>
      <c r="E93" s="563"/>
      <c r="R93" s="514" t="s">
        <v>3451</v>
      </c>
      <c r="S93" s="309"/>
      <c r="T93" s="514" t="str">
        <f aca="false">INDEX($A$23:$A$82,$T$92)</f>
        <v>CINAQU</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3472</v>
      </c>
      <c r="G17" s="600"/>
      <c r="H17" s="601" t="s">
        <v>3473</v>
      </c>
      <c r="I17" s="600"/>
    </row>
    <row r="18" customFormat="false" ht="15" hidden="false" customHeight="false" outlineLevel="0" collapsed="false">
      <c r="A18" s="594" t="s">
        <v>2960</v>
      </c>
      <c r="B18" s="596" t="s">
        <v>2961</v>
      </c>
      <c r="C18" s="597"/>
      <c r="D18" s="598"/>
      <c r="F18" s="602" t="s">
        <v>3474</v>
      </c>
      <c r="G18" s="603"/>
      <c r="H18" s="602" t="s">
        <v>3474</v>
      </c>
      <c r="I18" s="604"/>
    </row>
    <row r="19" customFormat="false" ht="15" hidden="false" customHeight="false" outlineLevel="0" collapsed="false">
      <c r="A19" s="594" t="s">
        <v>2962</v>
      </c>
      <c r="B19" s="596" t="s">
        <v>2963</v>
      </c>
      <c r="C19" s="597"/>
      <c r="D19" s="598"/>
      <c r="F19" s="605" t="s">
        <v>3475</v>
      </c>
      <c r="G19" s="8"/>
      <c r="H19" s="605" t="s">
        <v>3475</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3476</v>
      </c>
      <c r="G21" s="8"/>
      <c r="H21" s="605" t="s">
        <v>3476</v>
      </c>
      <c r="I21" s="606"/>
    </row>
    <row r="22" customFormat="false" ht="15" hidden="false" customHeight="false" outlineLevel="0" collapsed="false">
      <c r="A22" s="594" t="s">
        <v>2968</v>
      </c>
      <c r="B22" s="596" t="s">
        <v>2969</v>
      </c>
      <c r="C22" s="597"/>
      <c r="D22" s="598"/>
      <c r="F22" s="605" t="s">
        <v>3477</v>
      </c>
      <c r="G22" s="8"/>
      <c r="H22" s="605" t="s">
        <v>3477</v>
      </c>
      <c r="I22" s="606"/>
    </row>
    <row r="23" customFormat="false" ht="15" hidden="false" customHeight="false" outlineLevel="0" collapsed="false">
      <c r="A23" s="594" t="s">
        <v>1930</v>
      </c>
      <c r="B23" s="596" t="s">
        <v>1931</v>
      </c>
      <c r="C23" s="597"/>
      <c r="D23" s="598"/>
      <c r="F23" s="605" t="s">
        <v>3478</v>
      </c>
      <c r="G23" s="8"/>
      <c r="H23" s="605" t="s">
        <v>3478</v>
      </c>
      <c r="I23" s="606"/>
    </row>
    <row r="24" customFormat="false" ht="15" hidden="false" customHeight="false" outlineLevel="0" collapsed="false">
      <c r="A24" s="594" t="s">
        <v>2970</v>
      </c>
      <c r="B24" s="596" t="s">
        <v>2971</v>
      </c>
      <c r="C24" s="597"/>
      <c r="D24" s="598"/>
      <c r="F24" s="605" t="s">
        <v>3479</v>
      </c>
      <c r="G24" s="8"/>
      <c r="H24" s="605" t="s">
        <v>3479</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3462</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3483</v>
      </c>
    </row>
    <row r="37" customFormat="false" ht="15" hidden="false" customHeight="false" outlineLevel="0" collapsed="false">
      <c r="A37" s="594" t="s">
        <v>2976</v>
      </c>
      <c r="B37" s="596" t="s">
        <v>2977</v>
      </c>
      <c r="C37" s="597"/>
      <c r="D37" s="598"/>
      <c r="F37" s="611" t="s">
        <v>3484</v>
      </c>
    </row>
    <row r="38" customFormat="false" ht="15" hidden="false" customHeight="false" outlineLevel="0" collapsed="false">
      <c r="A38" s="594" t="s">
        <v>2978</v>
      </c>
      <c r="B38" s="596" t="s">
        <v>2979</v>
      </c>
      <c r="C38" s="597"/>
      <c r="D38" s="598"/>
      <c r="F38" s="613" t="s">
        <v>3461</v>
      </c>
    </row>
    <row r="39" customFormat="false" ht="15" hidden="false" customHeight="false" outlineLevel="0" collapsed="false">
      <c r="A39" s="594" t="s">
        <v>2980</v>
      </c>
      <c r="B39" s="596" t="s">
        <v>2981</v>
      </c>
      <c r="C39" s="597"/>
      <c r="D39" s="598"/>
      <c r="F39" s="613" t="s">
        <v>3485</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2016-04-14T14:24:41Z</dcterms:modified>
  <cp:revision>0</cp:revision>
  <dc:subject/>
  <dc:title>Feuille d'aide au calcul de l'IBMR</dc:title>
</cp:coreProperties>
</file>