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300121" sheetId="6" state="visible" r:id="rId8"/>
    <sheet name="jgjg" sheetId="7" state="hidden" r:id="rId9"/>
    <sheet name="liste codes réf" sheetId="8" state="hidden" r:id="rId10"/>
  </sheets>
  <definedNames>
    <definedName function="false" hidden="false" localSheetId="5" name="_xlnm.Print_Area" vbProcedure="false">'06300121'!$A$1:$Q$82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'06300121'!$A$1:$Q$82</definedName>
    <definedName function="false" hidden="false" localSheetId="5" name="_xlnm__FilterDatabase" vbProcedure="false">'06300121'!$A$1:$C$1415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<sst xmlns="http://schemas.openxmlformats.org/spreadsheetml/2006/main" count="8841" uniqueCount="3498">
  <si>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</si>
  <si>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</si>
  <si>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</si>
  <si>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</si>
  <si>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</si>
  <si>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</si>
  <si>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</si>
  <si>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</si>
  <si>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</si>
  <si>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</si>
  <si>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</si>
  <si>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</si>
  <si>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</si>
  <si>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</si>
  <si>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</si>
  <si>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</si>
  <si>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</si>
  <si>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</si>
  <si>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</si>
  <si>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</si>
  <si>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</si>
  <si>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</si>
  <si>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</si>
  <si>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</si>
  <si>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</si>
  <si>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</si>
  <si>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</si>
  <si>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</si>
  <si>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</si>
  <si>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</si>
  <si>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</si>
  <si>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</si>
  <si>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</si>
  <si>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</si>
  <si>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</si>
  <si>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</si>
  <si>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</si>
  <si>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</si>
  <si>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</si>
  <si>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</si>
  <si>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</si>
  <si>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</si>
  <si>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</si>
  <si>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</si>
  <si>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</si>
  <si>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</si>
  <si>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</si>
  <si>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</si>
  <si>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</si>
  <si>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</si>
  <si>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</si>
  <si>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</si>
  <si>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</si>
  <si>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</si>
  <si>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</si>
  <si>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</si>
  <si>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</si>
  <si>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</si>
  <si>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</si>
  <si>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</si>
  <si>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</si>
  <si>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</si>
  <si>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</si>
  <si>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</si>
  <si>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</si>
  <si>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</si>
  <si>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</si>
  <si>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</si>
  <si>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</si>
  <si>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</si>
  <si>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</si>
  <si>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</si>
  <si>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</si>
  <si>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</si>
  <si>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</si>
  <si>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</si>
  <si>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</si>
  <si>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</si>
  <si>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</si>
  <si>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</si>
  <si>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</si>
  <si>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</si>
  <si>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</si>
  <si>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</si>
  <si>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</si>
  <si>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</si>
  <si>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</si>
  <si>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</si>
  <si>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</si>
  <si>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</si>
  <si>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</si>
  <si>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</si>
  <si>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</si>
  <si>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</si>
  <si>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</si>
  <si>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</si>
  <si>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</si>
  <si>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</si>
  <si>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</si>
  <si>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</si>
  <si>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</si>
  <si>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</si>
  <si>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</si>
  <si>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</si>
  <si>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</si>
  <si>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</si>
  <si>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</si>
  <si>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</si>
  <si>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</si>
  <si>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</si>
  <si>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</si>
  <si>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</si>
  <si>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</si>
  <si>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</si>
  <si>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</si>
  <si>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</si>
  <si>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</si>
  <si>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</si>
  <si>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</si>
  <si>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</si>
  <si>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</si>
  <si>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</si>
  <si>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</si>
  <si>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</si>
  <si>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</si>
  <si>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</si>
  <si>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</si>
  <si>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</si>
  <si>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</si>
  <si>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</si>
  <si>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</si>
  <si>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</si>
  <si>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</si>
  <si>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</si>
  <si>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</si>
  <si>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</si>
  <si>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</si>
  <si>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</si>
  <si>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</si>
  <si>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</si>
  <si>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</si>
  <si>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</si>
  <si>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</si>
  <si>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</si>
  <si>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</si>
  <si>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</si>
  <si>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</si>
  <si>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</si>
  <si>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</si>
  <si>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</si>
  <si>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</si>
  <si>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</si>
  <si>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</si>
  <si>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</si>
  <si>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</si>
  <si>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</si>
  <si>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</si>
  <si>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</si>
  <si>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</si>
  <si>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</si>
  <si>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</si>
  <si>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</si>
  <si>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</si>
  <si>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</si>
  <si>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</si>
  <si>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</si>
  <si>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</si>
  <si>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</si>
  <si>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</si>
  <si>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</si>
  <si>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</si>
  <si>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</si>
  <si>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</si>
  <si>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</si>
  <si>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</si>
  <si>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</si>
  <si>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</si>
  <si>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</si>
  <si>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</si>
  <si>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</si>
  <si>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</si>
  <si>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</si>
  <si>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</si>
  <si>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</si>
  <si>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</si>
  <si>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</si>
  <si>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</si>
  <si>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</si>
  <si>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</si>
  <si>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</si>
  <si>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</si>
  <si>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</si>
  <si>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</si>
  <si>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</si>
  <si>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</si>
  <si>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</si>
  <si>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</si>
  <si>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</si>
  <si>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</si>
  <si>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</si>
  <si>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</si>
  <si>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</si>
  <si>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</si>
  <si>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</si>
  <si>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</si>
  <si>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</si>
  <si>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</si>
  <si>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</si>
  <si>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</si>
  <si>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</si>
  <si>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</si>
  <si>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</si>
  <si>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</si>
  <si>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</si>
  <si>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</si>
  <si>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</si>
  <si>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</si>
  <si>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</si>
  <si>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</si>
  <si>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</si>
  <si>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</si>
  <si>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</si>
  <si>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</si>
  <si>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</si>
  <si>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</si>
  <si>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</si>
  <si>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</si>
  <si>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</si>
  <si>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</si>
  <si>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</si>
  <si>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</si>
  <si>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</si>
  <si>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</si>
  <si>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</si>
  <si>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</si>
  <si>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</si>
  <si>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</si>
  <si>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</si>
  <si>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</si>
  <si>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</si>
  <si>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</si>
  <si>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</si>
  <si>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</si>
  <si>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</si>
  <si>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</si>
  <si>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</si>
  <si>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</si>
  <si>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</si>
  <si>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</si>
  <si>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</si>
  <si>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</si>
  <si>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</si>
  <si>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</si>
  <si>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</si>
  <si>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</si>
  <si>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</si>
  <si>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</si>
  <si>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</si>
  <si>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</si>
  <si>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</si>
  <si>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</si>
  <si>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</si>
  <si>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</si>
  <si>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</si>
  <si>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</si>
  <si>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</si>
  <si>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</si>
  <si>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</si>
  <si>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</si>
  <si>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</si>
  <si>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</si>
  <si>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</si>
  <si>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</si>
  <si>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</si>
  <si>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</si>
  <si>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</si>
  <si>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</si>
  <si>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</si>
  <si>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</si>
  <si>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</si>
  <si>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</si>
  <si>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</si>
  <si>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</si>
  <si>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</si>
  <si>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</si>
  <si>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</si>
  <si>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</si>
  <si>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</si>
  <si>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</si>
  <si>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</si>
  <si>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</si>
  <si>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</si>
  <si>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</si>
  <si>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</si>
  <si>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</si>
  <si>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</si>
  <si>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</si>
  <si>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</si>
  <si>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</si>
  <si>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</si>
  <si>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</si>
  <si>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</si>
  <si>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</si>
  <si>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</si>
  <si>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</si>
  <si>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</si>
  <si>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</si>
  <si>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</si>
  <si>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</si>
  <si>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</si>
  <si>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</si>
  <si>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</si>
  <si>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</si>
  <si>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</si>
  <si>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</si>
  <si>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</si>
  <si>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</si>
  <si>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</si>
  <si>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</si>
  <si>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</si>
  <si>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</si>
  <si>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</si>
  <si>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</si>
  <si>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</si>
  <si>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</si>
  <si>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</si>
  <si>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</si>
  <si>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</si>
  <si>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</si>
  <si>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</si>
  <si>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</si>
  <si>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</si>
  <si>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</si>
  <si>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</si>
  <si>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</si>
  <si>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</si>
  <si>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</si>
  <si>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</si>
  <si>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</si>
  <si>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</si>
  <si>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</si>
  <si>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</si>
  <si>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</si>
  <si>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</si>
  <si>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</si>
  <si>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</si>
  <si>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</si>
  <si>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</si>
  <si>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</si>
  <si>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</si>
  <si>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</si>
  <si>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</si>
  <si>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</si>
  <si>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</si>
  <si>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</si>
  <si>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</si>
  <si>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</si>
  <si>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</si>
  <si>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</si>
  <si>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</si>
  <si>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</si>
  <si>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</si>
  <si>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</si>
  <si>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</si>
  <si>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</si>
  <si>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</si>
  <si>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</si>
  <si>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</si>
  <si>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</si>
  <si>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</si>
  <si>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</si>
  <si>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</si>
  <si>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</si>
  <si>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</si>
  <si>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</si>
  <si>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</si>
  <si>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</si>
  <si>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</si>
  <si>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</si>
  <si>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</si>
  <si>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</si>
  <si>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</si>
  <si>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</si>
  <si>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</si>
  <si>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</si>
  <si>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</si>
  <si>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</si>
  <si>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</si>
  <si>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</si>
  <si>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</si>
  <si>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</si>
  <si>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</si>
  <si>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</si>
  <si>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</si>
  <si>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</si>
  <si>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</si>
  <si>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</si>
  <si>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</si>
  <si>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</si>
  <si>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</si>
  <si>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</si>
  <si>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</si>
  <si>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</si>
  <si>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</si>
  <si>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</si>
  <si>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</si>
  <si>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</si>
  <si>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</si>
  <si>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</si>
  <si>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</si>
  <si>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</si>
  <si>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</si>
  <si>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</si>
  <si>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</si>
  <si>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</si>
  <si>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</si>
  <si>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</si>
  <si>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</si>
  <si>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</si>
  <si>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</si>
  <si>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</si>
  <si>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</si>
  <si>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</si>
  <si>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</si>
  <si>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</si>
  <si>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</si>
  <si>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</si>
  <si>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</si>
  <si>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</si>
  <si>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</si>
  <si>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</si>
  <si>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</si>
  <si>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</si>
  <si>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</si>
  <si>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</si>
  <si>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</si>
  <si>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</si>
  <si>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</si>
  <si>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</si>
  <si>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</si>
  <si>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</si>
  <si>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</si>
  <si>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</si>
  <si>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</si>
  <si>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</si>
  <si>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</si>
  <si>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</si>
  <si>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</si>
  <si>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</si>
  <si>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</si>
  <si>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</si>
  <si>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</si>
  <si>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</si>
  <si>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</si>
  <si>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</si>
  <si>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</si>
  <si>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</si>
  <si>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</si>
  <si>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</si>
  <si>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</si>
  <si>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</si>
  <si>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</si>
  <si>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</si>
  <si>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</si>
  <si>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</si>
  <si>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</si>
  <si>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</si>
  <si>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</si>
  <si>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</si>
  <si>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</si>
  <si>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</si>
  <si>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</si>
  <si>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</si>
  <si>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</si>
  <si>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</si>
  <si>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</si>
  <si>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</si>
  <si>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</si>
  <si>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</si>
  <si>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</si>
  <si>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</si>
  <si>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</si>
  <si>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</si>
  <si>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</si>
  <si>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</si>
  <si>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</si>
  <si>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</si>
  <si>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</si>
  <si>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</si>
  <si>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</si>
  <si>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</si>
  <si>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</si>
  <si>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</si>
  <si>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</si>
  <si>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</si>
  <si>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</si>
  <si>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</si>
  <si>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</si>
  <si>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</si>
  <si>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</si>
  <si>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</si>
  <si>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</si>
  <si>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</si>
  <si>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</si>
  <si>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</si>
  <si>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</si>
  <si>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</si>
  <si>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</si>
  <si>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</si>
  <si>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</si>
  <si>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</si>
  <si>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</si>
  <si>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</si>
  <si>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</si>
  <si>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</si>
  <si>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</si>
  <si>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</si>
  <si>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</si>
  <si>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</si>
  <si>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</si>
  <si>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</si>
  <si>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</si>
  <si>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</si>
  <si>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</si>
  <si>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</si>
  <si>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</si>
  <si>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</si>
  <si>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</si>
  <si>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</si>
  <si>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</si>
  <si>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</si>
  <si>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</si>
  <si>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</si>
  <si>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</si>
  <si>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</si>
  <si>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</si>
  <si>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</si>
  <si>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</si>
  <si>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</si>
  <si>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</si>
  <si>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</si>
  <si>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</si>
  <si>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</si>
  <si>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</si>
  <si>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</si>
  <si>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</si>
  <si>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</si>
  <si>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</si>
  <si>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</si>
  <si>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</si>
  <si>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</si>
  <si>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</si>
  <si>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</si>
  <si>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</si>
  <si>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</si>
  <si>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</si>
  <si>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</si>
  <si>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</si>
  <si>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</si>
  <si>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</si>
  <si>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</si>
  <si>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</si>
  <si>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</si>
  <si>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</si>
  <si>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</si>
  <si>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</si>
  <si>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</si>
  <si>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</si>
  <si>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</si>
  <si>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</si>
  <si>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</si>
  <si>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</si>
  <si>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</si>
  <si>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</si>
  <si>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</si>
  <si>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</si>
  <si>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</si>
  <si>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</si>
  <si>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</si>
  <si>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</si>
  <si>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</si>
  <si>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</si>
  <si>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</si>
  <si>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</si>
  <si>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</si>
  <si>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</si>
  <si>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</si>
  <si>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</si>
  <si>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</si>
  <si>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</si>
  <si>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</si>
  <si>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</si>
  <si>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</si>
  <si>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</si>
  <si>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</si>
  <si>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</si>
  <si>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</si>
  <si>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</si>
  <si>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</si>
  <si>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</si>
  <si>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</si>
  <si>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</si>
  <si>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</si>
  <si>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</si>
  <si>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</si>
  <si>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</si>
  <si>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</si>
  <si>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</si>
  <si>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</si>
  <si>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</si>
  <si>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</si>
  <si>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</si>
  <si>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</si>
  <si>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</si>
  <si>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</si>
  <si>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</si>
  <si>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</si>
  <si>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</si>
  <si>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</si>
  <si>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</si>
  <si>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</si>
  <si>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</si>
  <si>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</si>
  <si>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</si>
  <si>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</si>
  <si>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</si>
  <si>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</si>
  <si>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</si>
  <si>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</si>
  <si>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</si>
  <si>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</si>
  <si>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</si>
  <si>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</si>
  <si>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</si>
  <si>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</si>
  <si>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</si>
  <si>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</si>
  <si>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</si>
  <si>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</si>
  <si>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</si>
  <si>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</si>
  <si>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</si>
  <si>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</si>
  <si>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</si>
  <si>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</si>
  <si>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</si>
  <si>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</si>
  <si>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</si>
  <si>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</si>
  <si>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</si>
  <si>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</si>
  <si>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</si>
  <si>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</si>
  <si>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</si>
  <si>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</si>
  <si>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</si>
  <si>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</si>
  <si>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</si>
  <si>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</si>
  <si>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</si>
  <si>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</si>
  <si>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</si>
  <si>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</si>
  <si>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</si>
  <si>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</si>
  <si>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</si>
  <si>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</si>
  <si>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</si>
  <si>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</si>
  <si>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</si>
  <si>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</si>
  <si>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</si>
  <si>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</si>
  <si>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</si>
  <si>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</si>
  <si>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</si>
  <si>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</si>
  <si>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</si>
  <si>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</si>
  <si>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</si>
  <si>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</si>
  <si>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</si>
  <si>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</si>
  <si>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</si>
  <si>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</si>
  <si>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</si>
  <si>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</si>
  <si>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</si>
  <si>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</si>
  <si>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</si>
  <si>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</si>
  <si>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</si>
  <si>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</si>
  <si>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</si>
  <si>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</si>
  <si>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</si>
  <si>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</si>
  <si>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</si>
  <si>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</si>
  <si>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</si>
  <si>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</si>
  <si>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</si>
  <si>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</si>
  <si>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</si>
  <si>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</si>
  <si>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</si>
  <si>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</si>
  <si>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</si>
  <si>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</si>
  <si>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</si>
  <si>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</si>
  <si>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</si>
  <si>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</si>
  <si>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</si>
  <si>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</si>
  <si>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</si>
  <si>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</si>
  <si>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</si>
  <si>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</si>
  <si>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</si>
  <si>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</si>
  <si>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</si>
  <si>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</si>
  <si>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</si>
  <si>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</si>
  <si>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</si>
  <si>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</si>
  <si>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</si>
  <si>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</si>
  <si>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</si>
  <si>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</si>
  <si>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</si>
  <si>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</si>
  <si>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</si>
  <si>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</si>
  <si>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</si>
  <si>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</si>
  <si>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</si>
  <si>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</si>
  <si>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</si>
  <si>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</si>
  <si>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</si>
  <si>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</si>
  <si>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</si>
  <si>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</si>
  <si>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</si>
  <si>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</si>
  <si>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</si>
  <si>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</si>
  <si>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</si>
  <si>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</si>
  <si>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</si>
  <si>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</si>
  <si>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</si>
  <si>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</si>
  <si>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</si>
  <si>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</si>
  <si>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</si>
  <si>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</si>
  <si>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</si>
  <si>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</si>
  <si>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</si>
  <si>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</si>
  <si>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</si>
  <si>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</si>
  <si>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</si>
  <si>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</si>
  <si>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</si>
  <si>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</si>
  <si>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</si>
  <si>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</si>
  <si>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</si>
  <si>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</si>
  <si>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</si>
  <si>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</si>
  <si>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</si>
  <si>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</si>
  <si>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</si>
  <si>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</si>
  <si>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</si>
  <si>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</si>
  <si>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</si>
  <si>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</si>
  <si>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</si>
  <si>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</si>
  <si>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</si>
  <si>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</si>
  <si>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</si>
  <si>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</si>
  <si>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</si>
  <si>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</si>
  <si>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</si>
  <si>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</si>
  <si>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</si>
  <si>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</si>
  <si>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</si>
  <si>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</si>
  <si>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</si>
  <si>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</si>
  <si>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</si>
  <si>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</si>
  <si>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</si>
  <si>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</si>
  <si>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</si>
  <si>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</si>
  <si>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</si>
  <si>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</si>
  <si>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</si>
  <si>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</si>
  <si>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</si>
  <si>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</si>
  <si>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</si>
  <si>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</si>
  <si>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</si>
  <si>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</si>
  <si>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</si>
  <si>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</si>
  <si>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</si>
  <si>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</si>
  <si>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</si>
  <si>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</si>
  <si>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</si>
  <si>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</si>
  <si>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</si>
  <si>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</si>
  <si>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</si>
  <si>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</si>
  <si>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</si>
  <si>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</si>
  <si>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</si>
  <si>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</si>
  <si>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</si>
  <si>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</si>
  <si>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</si>
  <si>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</si>
  <si>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</si>
  <si>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</si>
  <si>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</si>
  <si>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</si>
  <si>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</si>
  <si>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</si>
  <si>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</si>
  <si>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</si>
  <si>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</si>
  <si>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</si>
  <si>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</si>
  <si>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</si>
  <si>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</si>
  <si>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</si>
  <si>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</si>
  <si>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</si>
  <si>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</si>
  <si>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</si>
  <si>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</si>
  <si>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</si>
  <si>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</si>
  <si>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</si>
  <si>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</si>
  <si>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</si>
  <si>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</si>
  <si>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</si>
  <si>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</si>
  <si>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</si>
  <si>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</si>
  <si>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</si>
  <si>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</si>
  <si>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</si>
  <si>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</si>
  <si>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</si>
  <si>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</si>
  <si>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</si>
  <si>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</si>
  <si>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</si>
  <si>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</si>
  <si>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</si>
  <si>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</si>
  <si>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</si>
  <si>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</si>
  <si>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</si>
  <si>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</si>
  <si>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</si>
  <si>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</si>
  <si>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</si>
  <si>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</si>
  <si>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</si>
  <si>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</si>
  <si>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</si>
  <si>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</si>
  <si>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</si>
  <si>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</si>
  <si>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</si>
  <si>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</si>
  <si>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</si>
  <si>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</si>
  <si>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</si>
  <si>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</si>
  <si>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</si>
  <si>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</si>
  <si>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</si>
  <si>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</si>
  <si>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</si>
  <si>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</si>
  <si>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</si>
  <si>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</si>
  <si>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</si>
  <si>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</si>
  <si>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</si>
  <si>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</si>
  <si>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</si>
  <si>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</si>
  <si>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</si>
  <si>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</si>
  <si>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</si>
  <si>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</si>
  <si>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</si>
  <si>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</si>
  <si>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</si>
  <si>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</si>
  <si>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</si>
  <si>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</si>
  <si>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</si>
  <si>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</si>
  <si>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</si>
  <si>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</si>
  <si>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</si>
  <si>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</si>
  <si>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</si>
  <si>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</si>
  <si>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</si>
  <si>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</si>
  <si>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</si>
  <si>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</si>
  <si>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</si>
  <si>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</si>
  <si>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</si>
  <si>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</si>
  <si>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</si>
  <si>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</si>
  <si>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</si>
  <si>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</si>
  <si>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</si>
  <si>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</si>
  <si>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</si>
  <si>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</si>
  <si>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</si>
  <si>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</si>
  <si>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</si>
  <si>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</si>
  <si>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</si>
  <si>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</si>
  <si>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</si>
  <si>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</si>
  <si>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</si>
  <si>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</si>
  <si>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</si>
  <si>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</si>
  <si>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</si>
  <si>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</si>
  <si>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</si>
  <si>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</si>
  <si>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</si>
  <si>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</si>
  <si>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</si>
  <si>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</si>
  <si>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</si>
  <si>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</si>
  <si>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</si>
  <si>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</si>
  <si>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</si>
  <si>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</si>
  <si>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</si>
  <si>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</si>
  <si>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</si>
  <si>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</si>
  <si>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</si>
  <si>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</si>
  <si>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</si>
  <si>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</si>
  <si>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</si>
  <si>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</si>
  <si>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</si>
  <si>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</si>
  <si>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</si>
  <si>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</si>
  <si>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</si>
  <si>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</si>
  <si>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</si>
  <si>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</si>
  <si>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</si>
  <si>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</si>
  <si>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</si>
  <si>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</si>
  <si>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</si>
  <si>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</si>
  <si>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</si>
  <si>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</si>
  <si>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</si>
  <si>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</si>
  <si>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</si>
  <si>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</si>
  <si>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</si>
  <si>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</si>
  <si>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</si>
  <si>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</si>
  <si>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</si>
  <si>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</si>
  <si>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</si>
  <si>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</si>
  <si>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</si>
  <si>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</si>
  <si>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</si>
  <si>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</si>
  <si>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</si>
  <si>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</si>
  <si>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</si>
  <si>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</si>
  <si>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</si>
  <si>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</si>
  <si>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</si>
  <si>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</si>
  <si>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</si>
  <si>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</si>
  <si>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</si>
  <si>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</si>
  <si>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</si>
  <si>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</si>
  <si>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</si>
  <si>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</si>
  <si>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</si>
  <si>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</si>
  <si>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</si>
  <si>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</si>
  <si>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</si>
  <si>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</si>
  <si>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</si>
  <si>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</si>
  <si>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</si>
  <si>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</si>
  <si>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</si>
  <si>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</si>
  <si>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</si>
  <si>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</si>
  <si>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</si>
  <si>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</si>
  <si>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</si>
  <si>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</si>
  <si>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</si>
  <si>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</si>
  <si>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</si>
  <si>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</si>
  <si>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</si>
  <si>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</si>
  <si>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</si>
  <si>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</si>
  <si>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</si>
  <si>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</si>
  <si>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</si>
  <si>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</si>
  <si>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</si>
  <si>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</si>
  <si>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</si>
  <si>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</si>
  <si>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</si>
  <si>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</si>
  <si>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</si>
  <si>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</si>
  <si>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</si>
  <si>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</si>
  <si>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</si>
  <si>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</si>
  <si>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</si>
  <si>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</si>
  <si>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</si>
  <si>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</si>
  <si>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</si>
  <si>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</si>
  <si>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</si>
  <si>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</si>
  <si>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</si>
  <si>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</si>
  <si>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</si>
  <si>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</si>
  <si>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</si>
  <si>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</si>
  <si>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</si>
  <si>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</si>
  <si>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</si>
  <si>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</si>
  <si>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</si>
  <si>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</si>
  <si>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</si>
  <si>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</si>
  <si>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</si>
  <si>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</si>
  <si>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</si>
  <si>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</si>
  <si>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</si>
  <si>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</si>
  <si>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</si>
  <si>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</si>
  <si>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</si>
  <si>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</si>
  <si>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</si>
  <si>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</si>
  <si>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</si>
  <si>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</si>
  <si>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</si>
  <si>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</si>
  <si>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</si>
  <si>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</si>
  <si>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</si>
  <si>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</si>
  <si>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</si>
  <si>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</si>
  <si>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</si>
  <si>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</si>
  <si>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</si>
  <si>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</si>
  <si>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</si>
  <si>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</si>
  <si>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</si>
  <si>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</si>
  <si>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</si>
  <si>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</si>
  <si>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</si>
  <si>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</si>
  <si>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</si>
  <si>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</si>
  <si>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</si>
  <si>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</si>
  <si>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</si>
  <si>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</si>
  <si>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</si>
  <si>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</si>
  <si>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</si>
  <si>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</si>
  <si>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</si>
  <si>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</si>
  <si>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</si>
  <si>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</si>
  <si>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</si>
  <si>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</si>
  <si>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</si>
  <si>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</si>
  <si>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</si>
  <si>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</si>
  <si>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</si>
  <si>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</si>
  <si>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</si>
  <si>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</si>
  <si>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</si>
  <si>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</si>
  <si>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</si>
  <si>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</si>
  <si>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</si>
  <si>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</si>
  <si>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</si>
  <si>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</si>
  <si>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</si>
  <si>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</si>
  <si>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</si>
  <si>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</si>
  <si>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</si>
  <si>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</si>
  <si>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</si>
  <si>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</si>
  <si>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</si>
  <si>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</si>
  <si>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</si>
  <si>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</si>
  <si>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</si>
  <si>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</si>
  <si>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</si>
  <si>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</si>
  <si>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</si>
  <si>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</si>
  <si>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</si>
  <si>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</si>
  <si>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</si>
  <si>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</si>
  <si>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</si>
  <si>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</si>
  <si>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</si>
  <si>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</si>
  <si>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</si>
  <si>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</si>
  <si>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</si>
  <si>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</si>
  <si>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</si>
  <si>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</si>
  <si>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</si>
  <si>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</si>
  <si>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</si>
  <si>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</si>
  <si>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</si>
  <si>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</si>
  <si>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</si>
  <si>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</si>
  <si>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</si>
  <si>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</si>
  <si>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</si>
  <si>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</si>
  <si>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</si>
  <si>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</si>
  <si>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</si>
  <si>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</si>
  <si>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</si>
  <si>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</si>
  <si>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</si>
  <si>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</si>
  <si>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</si>
  <si>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</si>
  <si>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</si>
  <si>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</si>
  <si>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</si>
  <si>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</si>
  <si>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</si>
  <si>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</si>
  <si>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</si>
  <si>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</si>
  <si>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</si>
  <si>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</si>
  <si>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</si>
  <si>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</si>
  <si>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</si>
  <si>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</si>
  <si>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</si>
  <si>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</si>
  <si>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</si>
  <si>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</si>
  <si>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</si>
  <si>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</si>
  <si>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</si>
  <si>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</si>
  <si>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</si>
  <si>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</si>
  <si>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</si>
  <si>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</si>
  <si>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</si>
  <si>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</si>
  <si>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</si>
  <si>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</si>
  <si>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</si>
  <si>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</si>
  <si>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</si>
  <si>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</si>
  <si>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</si>
  <si>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</si>
  <si>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</si>
  <si>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</si>
  <si>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</si>
  <si>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</si>
  <si>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</si>
  <si>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</si>
  <si>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</si>
  <si>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</si>
  <si>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</si>
  <si>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</si>
  <si>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</si>
  <si>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</si>
  <si>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</si>
  <si>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</si>
  <si>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</si>
  <si>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</si>
  <si>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</si>
  <si>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</si>
  <si>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</si>
  <si>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</si>
  <si>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</si>
  <si>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</si>
  <si>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</si>
  <si>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</si>
  <si>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</si>
  <si>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</si>
  <si>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</si>
  <si>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</si>
  <si>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</si>
  <si>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</si>
  <si>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</si>
  <si>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</si>
  <si>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</si>
  <si>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</si>
  <si>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</si>
  <si>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</si>
  <si>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</si>
  <si>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</si>
  <si>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</si>
  <si>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</si>
  <si>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</si>
  <si>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</si>
  <si>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</si>
  <si>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</si>
  <si>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</si>
  <si>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</si>
  <si>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</si>
  <si>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</si>
  <si>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</si>
  <si>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</si>
  <si>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</si>
  <si>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</si>
  <si>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</si>
  <si>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</si>
  <si>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</si>
  <si>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</si>
  <si>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</si>
  <si>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</si>
  <si>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</si>
  <si>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</si>
  <si>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</si>
  <si>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</si>
  <si>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</si>
  <si>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</si>
  <si>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</si>
  <si>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</si>
  <si>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</si>
  <si>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</si>
  <si>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</si>
  <si>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</si>
  <si>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</si>
  <si>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</si>
  <si>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</si>
  <si>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</si>
  <si>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</si>
  <si>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</si>
  <si>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</si>
  <si>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</si>
  <si>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</si>
  <si>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</si>
  <si>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</si>
  <si>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</si>
  <si>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</si>
  <si>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</si>
  <si>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</si>
  <si>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</si>
  <si>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</si>
  <si>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</si>
  <si>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</si>
  <si>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</si>
  <si>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</si>
  <si>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</si>
  <si>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</si>
  <si>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</si>
  <si>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</si>
  <si>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</si>
  <si>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</si>
  <si>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</si>
  <si>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</si>
  <si>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</si>
  <si>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</si>
  <si>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</si>
  <si>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</si>
  <si>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</si>
  <si>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</si>
  <si>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</si>
  <si>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</si>
  <si>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</si>
  <si>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</si>
  <si>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</si>
  <si>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</si>
  <si>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</si>
  <si>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</si>
  <si>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</si>
  <si>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</si>
  <si>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</si>
  <si>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</si>
  <si>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</si>
  <si>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</si>
  <si>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</si>
  <si>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</si>
  <si>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</si>
  <si>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</si>
  <si>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</si>
  <si>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</si>
  <si>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</si>
  <si>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</si>
  <si>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</si>
  <si>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</si>
  <si>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</si>
  <si>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</si>
  <si>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</si>
  <si>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</si>
  <si>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</si>
  <si>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</si>
  <si>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</si>
  <si>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</si>
  <si>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</si>
  <si>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</si>
  <si>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</si>
  <si>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</si>
  <si>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</si>
  <si>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</si>
  <si>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</si>
  <si>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</si>
  <si>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</si>
  <si>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</si>
  <si>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</si>
  <si>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</si>
  <si>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</si>
  <si>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</si>
  <si>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</si>
  <si>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</si>
  <si>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</si>
  <si>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</si>
  <si>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</si>
  <si>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</si>
  <si>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</si>
  <si>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</si>
  <si>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</si>
  <si>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</si>
  <si>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</si>
  <si>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</si>
  <si>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</si>
  <si>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</si>
  <si>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</si>
  <si>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</si>
  <si>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</si>
  <si>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</si>
  <si>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</si>
  <si>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</si>
  <si>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</si>
  <si>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</si>
  <si>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</si>
  <si>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</si>
  <si>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</si>
  <si>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</si>
  <si>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</si>
  <si>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</si>
  <si>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</si>
  <si>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</si>
  <si>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</si>
  <si>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</si>
  <si>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</si>
  <si>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</si>
  <si>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</si>
  <si>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</si>
  <si>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</si>
  <si>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</si>
  <si>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</si>
  <si>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</si>
  <si>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</si>
  <si>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</si>
  <si>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</si>
  <si>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</si>
  <si>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</si>
  <si>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</si>
  <si>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</si>
  <si>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</si>
  <si>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</si>
  <si>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</si>
  <si>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</si>
  <si>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</si>
  <si>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</si>
  <si>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</si>
  <si>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</si>
  <si>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</si>
  <si>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</si>
  <si>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</si>
  <si>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</si>
  <si>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</si>
  <si>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</si>
  <si>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</si>
  <si>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</si>
  <si>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</si>
  <si>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</si>
  <si>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</si>
  <si>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</si>
  <si>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</si>
  <si>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</si>
  <si>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</si>
  <si>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</si>
  <si>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</si>
  <si>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</si>
  <si>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</si>
  <si>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</si>
  <si>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</si>
  <si>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</si>
  <si>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</si>
  <si>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</si>
  <si>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</si>
  <si>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</si>
  <si>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</si>
  <si>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</si>
  <si>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</si>
  <si>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</si>
  <si>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</si>
  <si>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</si>
  <si>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</si>
  <si>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</si>
  <si>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</si>
  <si>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</si>
  <si>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</si>
  <si>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</si>
  <si>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</si>
  <si>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</si>
  <si>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</si>
  <si>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</si>
  <si>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</si>
  <si>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</si>
  <si>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</si>
  <si>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</si>
  <si>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</si>
  <si>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</si>
  <si>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</si>
  <si>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</si>
  <si>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</si>
  <si>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</si>
  <si>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</si>
  <si>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</si>
  <si>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</si>
  <si>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</si>
  <si>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</si>
  <si>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</si>
  <si>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</si>
  <si>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</si>
  <si>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</si>
  <si>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</si>
  <si>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</si>
  <si>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</si>
  <si>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</si>
  <si>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</si>
  <si>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</si>
  <si>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</si>
  <si>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</si>
  <si>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</si>
  <si>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</si>
  <si>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</si>
  <si>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</si>
  <si>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</si>
  <si>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</si>
  <si>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</si>
  <si>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</si>
  <si>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</si>
  <si>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</si>
  <si>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</si>
  <si>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</si>
  <si>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</si>
  <si>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</si>
  <si>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</si>
  <si>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</si>
  <si>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</si>
  <si>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</si>
  <si>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</si>
  <si>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</si>
  <si>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</si>
  <si>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</si>
  <si>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</si>
  <si>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</si>
  <si>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</si>
  <si>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</si>
  <si>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</si>
  <si>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</si>
  <si>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</si>
  <si>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</si>
  <si>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</si>
  <si>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</si>
  <si>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</si>
  <si>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</si>
  <si>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</si>
  <si>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</si>
  <si>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</si>
  <si>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</si>
  <si>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</si>
  <si>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</si>
  <si>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</si>
  <si>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</si>
  <si>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</si>
  <si>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</si>
  <si>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</si>
  <si>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</si>
  <si>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</si>
  <si>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</si>
  <si>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</si>
  <si>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</si>
  <si>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</si>
  <si>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</si>
  <si>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</si>
  <si>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</si>
  <si>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</si>
  <si>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</si>
  <si>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</si>
  <si>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</si>
  <si>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</si>
  <si>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</si>
  <si>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</si>
  <si>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</si>
  <si>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</si>
  <si>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</si>
  <si>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</si>
  <si>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</si>
  <si>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</si>
  <si>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</si>
  <si>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</si>
  <si>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</si>
  <si>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</si>
  <si>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</si>
  <si>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</si>
  <si>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</si>
  <si>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</si>
  <si>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</si>
  <si>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</si>
  <si>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</si>
  <si>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</si>
  <si>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</si>
  <si>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</si>
  <si>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</si>
  <si>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</si>
  <si>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</si>
  <si>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</si>
  <si>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</si>
  <si>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</si>
  <si>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</si>
  <si>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</si>
  <si>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</si>
  <si>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</si>
  <si>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</si>
  <si>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</si>
  <si>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</si>
  <si>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</si>
  <si>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</si>
  <si>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</si>
  <si>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</si>
  <si>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</si>
  <si>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</si>
  <si>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</si>
  <si>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</si>
  <si>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</si>
  <si>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</si>
  <si>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</si>
  <si>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</si>
  <si>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</si>
  <si>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</si>
  <si>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</si>
  <si>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</si>
  <si>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</si>
  <si>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</si>
  <si>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</si>
  <si>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</si>
  <si>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</si>
  <si>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</si>
  <si>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</si>
  <si>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</si>
  <si>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</si>
  <si>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</si>
  <si>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</si>
  <si>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</si>
  <si>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</si>
  <si>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</si>
  <si>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</si>
  <si>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</si>
  <si>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</si>
  <si>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</si>
  <si>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</si>
  <si>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</si>
  <si>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</si>
  <si>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</si>
  <si>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</si>
  <si>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</si>
  <si>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</si>
  <si>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</si>
  <si>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</si>
  <si>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</si>
  <si>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</si>
  <si>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</si>
  <si>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</si>
  <si>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</si>
  <si>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</si>
  <si>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</si>
  <si>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</si>
  <si>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</si>
  <si>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</si>
  <si>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</si>
  <si>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</si>
  <si>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</si>
  <si>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</si>
  <si>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</si>
  <si>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</si>
  <si>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</si>
  <si>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</si>
  <si>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</si>
  <si>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</si>
  <si>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</si>
  <si>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</si>
  <si>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</si>
  <si>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</si>
  <si>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</si>
  <si>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</si>
  <si>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</si>
  <si>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</si>
  <si>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</si>
  <si>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</si>
  <si>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</si>
  <si>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</si>
  <si>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</si>
  <si>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</si>
  <si>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</si>
  <si>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</si>
  <si>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</si>
  <si>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</si>
  <si>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</si>
  <si>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</si>
  <si>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</si>
  <si>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</si>
  <si>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</si>
  <si>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</si>
  <si>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</si>
  <si>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</si>
  <si>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</si>
  <si>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</si>
  <si>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</si>
  <si>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</si>
  <si>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</si>
  <si>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</si>
  <si>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</si>
  <si>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</si>
  <si>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</si>
  <si>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</si>
  <si>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</si>
  <si>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</si>
  <si>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</si>
  <si>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</si>
  <si>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</si>
  <si>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</si>
  <si>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</si>
  <si>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</si>
  <si>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</si>
  <si>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</si>
  <si>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</si>
  <si>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</si>
  <si>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</si>
  <si>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</si>
  <si>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</si>
  <si>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</si>
  <si>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</si>
  <si>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</si>
  <si>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</si>
  <si>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</si>
  <si>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</si>
  <si>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</si>
  <si>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</si>
  <si>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</si>
  <si>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</si>
  <si>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</si>
  <si>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</si>
  <si>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</si>
  <si>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</si>
  <si>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</si>
  <si>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</si>
  <si>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</si>
  <si>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</si>
  <si>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</si>
  <si>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</si>
  <si>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</si>
  <si>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</si>
  <si>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</si>
  <si>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</si>
  <si>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</si>
  <si>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</si>
  <si>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</si>
  <si>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</si>
  <si>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</si>
  <si>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</si>
  <si>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</si>
  <si>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</si>
  <si>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</si>
  <si>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</si>
  <si>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</si>
  <si>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</si>
  <si>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</si>
  <si>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</si>
  <si>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</si>
  <si>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</si>
  <si>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</si>
  <si>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</si>
  <si>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</si>
  <si>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</si>
  <si>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</si>
  <si>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</si>
  <si>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</si>
  <si>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</si>
  <si>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</si>
  <si>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</si>
  <si>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</si>
  <si>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</si>
  <si>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</si>
  <si>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</si>
  <si>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</si>
  <si>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</si>
  <si>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</si>
  <si>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</si>
  <si>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</si>
  <si>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</si>
  <si>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</si>
  <si>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</si>
  <si>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</si>
  <si>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</si>
  <si>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</si>
  <si>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</si>
  <si>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</si>
  <si>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</si>
  <si>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</si>
  <si>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</si>
  <si>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</si>
  <si>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</si>
  <si>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</si>
  <si>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</si>
  <si>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</si>
  <si>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</si>
  <si>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</si>
  <si>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</si>
  <si>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</si>
  <si>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</si>
  <si>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</si>
  <si>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</si>
  <si>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</si>
  <si>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</si>
  <si>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</si>
  <si>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</si>
  <si>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</si>
  <si>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</si>
  <si>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</si>
  <si>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</si>
  <si>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</si>
  <si>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</si>
  <si>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</si>
  <si>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</si>
  <si>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</si>
  <si>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</si>
  <si>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</si>
  <si>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</si>
  <si>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</si>
  <si>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</si>
  <si>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</si>
  <si>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</si>
  <si>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</si>
  <si>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</si>
  <si>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</si>
  <si>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</si>
  <si>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</si>
  <si>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</si>
  <si>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</si>
  <si>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</si>
  <si>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</si>
  <si>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</si>
  <si>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</si>
  <si>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</si>
  <si>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</si>
  <si>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</si>
  <si>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</si>
  <si>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</si>
  <si>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</si>
  <si>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</si>
  <si>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</si>
  <si>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</si>
  <si>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</si>
  <si>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</si>
  <si>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</si>
  <si>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</si>
  <si>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</si>
  <si>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</si>
  <si>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</si>
  <si>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</si>
  <si>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</si>
  <si>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</si>
  <si>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</si>
  <si>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</si>
  <si>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</si>
  <si>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</si>
  <si>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</si>
  <si>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</si>
  <si>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</si>
  <si>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</si>
  <si>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</si>
  <si>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</si>
  <si>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</si>
  <si>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</si>
  <si>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</si>
  <si>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</si>
  <si>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</si>
  <si>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</si>
  <si>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</si>
  <si>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</si>
  <si>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</si>
  <si>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</si>
  <si>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</si>
  <si>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</si>
  <si>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</si>
  <si>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</si>
  <si>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</si>
  <si>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</si>
  <si>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</si>
  <si>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</si>
  <si>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</si>
  <si>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</si>
  <si>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</si>
  <si>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</si>
  <si>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</si>
  <si>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</si>
  <si>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</si>
  <si>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</si>
  <si>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</si>
  <si>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</si>
  <si>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</si>
  <si>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</si>
  <si>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</si>
  <si>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</si>
  <si>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</si>
  <si>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</si>
  <si>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</si>
  <si>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</si>
  <si>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</si>
  <si>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</si>
  <si>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</si>
  <si>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</si>
  <si>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</si>
  <si>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</si>
  <si>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</si>
  <si>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</si>
  <si>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</si>
  <si>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</si>
  <si>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</si>
  <si>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</si>
  <si>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</si>
  <si>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</si>
  <si>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</si>
  <si>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</si>
  <si>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</si>
  <si>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</si>
  <si>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</si>
  <si>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</si>
  <si>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</si>
  <si>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</si>
  <si>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</si>
  <si>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</si>
  <si>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</si>
  <si>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</si>
  <si>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</si>
  <si>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</si>
  <si>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</si>
  <si>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</si>
  <si>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</si>
  <si>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</si>
  <si>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</si>
  <si>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</si>
  <si>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</si>
  <si>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</si>
  <si>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</si>
  <si>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</si>
  <si>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</si>
  <si>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</si>
  <si>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</si>
  <si>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</si>
  <si>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</si>
  <si>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</si>
  <si>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</si>
  <si>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</si>
  <si>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</si>
  <si>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</si>
  <si>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</si>
  <si>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</si>
  <si>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</si>
  <si>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</si>
  <si>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</si>
  <si>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</si>
  <si>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</si>
  <si>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</si>
  <si>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</si>
  <si>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</si>
  <si>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</si>
  <si>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</si>
  <si>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</si>
  <si>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</si>
  <si>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</si>
  <si>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</si>
  <si>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</si>
  <si>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</si>
  <si>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</si>
  <si>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</si>
  <si>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</si>
  <si>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</si>
  <si>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</si>
  <si>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</si>
  <si>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</si>
  <si>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</si>
  <si>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</si>
  <si>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</si>
  <si>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</si>
  <si>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</si>
  <si>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</si>
  <si>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</si>
  <si>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</si>
  <si>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</si>
  <si>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</si>
  <si>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</si>
  <si>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</si>
  <si>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</si>
  <si>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</si>
  <si>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</si>
  <si>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</si>
  <si>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</si>
  <si>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</si>
  <si>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</si>
  <si>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</si>
  <si>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</si>
  <si>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</si>
  <si>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</si>
  <si>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</si>
  <si>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</si>
  <si>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</si>
  <si>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</si>
  <si>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</si>
  <si>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</si>
  <si>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</si>
  <si>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</si>
  <si>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</si>
  <si>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</si>
  <si>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</si>
  <si>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</si>
  <si>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</si>
  <si>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</si>
  <si>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</si>
  <si>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</si>
  <si>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</si>
  <si>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</si>
  <si>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</si>
  <si>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</si>
  <si>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</si>
  <si>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</si>
  <si>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</si>
  <si>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</si>
  <si>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</si>
  <si>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</si>
  <si>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</si>
  <si>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</si>
  <si>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</si>
  <si>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</si>
  <si>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</si>
  <si>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</si>
  <si>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</si>
  <si>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</si>
  <si>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</si>
  <si>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</si>
  <si>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</si>
  <si>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</si>
  <si>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</si>
  <si>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</si>
  <si>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</si>
  <si>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</si>
  <si>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</si>
  <si>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</si>
  <si>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</si>
  <si>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</si>
  <si>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</si>
  <si>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</si>
  <si>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</si>
  <si>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</si>
  <si>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</si>
  <si>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</si>
  <si>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</si>
  <si>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</si>
  <si>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</si>
  <si>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</si>
  <si>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</si>
  <si>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</si>
  <si>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</si>
  <si>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</si>
  <si>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</si>
  <si>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</si>
  <si>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</si>
  <si>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</si>
  <si>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</si>
  <si>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</si>
  <si>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</si>
  <si>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</si>
  <si>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</si>
  <si>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</si>
  <si>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</si>
  <si>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</si>
  <si>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</si>
  <si>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</si>
  <si>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</si>
  <si>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</si>
  <si>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</si>
  <si>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</si>
  <si>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</si>
  <si>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</si>
  <si>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</si>
  <si>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</si>
  <si>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</si>
  <si>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</si>
  <si>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</si>
  <si>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</si>
  <si>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</si>
  <si>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</si>
  <si>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</si>
  <si>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</si>
  <si>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</si>
  <si>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</si>
  <si>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</si>
  <si>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</si>
  <si>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</si>
  <si>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</si>
  <si>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</si>
  <si>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</si>
  <si>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</si>
  <si>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</si>
  <si>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</si>
  <si>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</si>
  <si>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</si>
  <si>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</si>
  <si>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</si>
  <si>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</si>
  <si>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</si>
  <si>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</si>
  <si>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</si>
  <si>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</si>
  <si>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</si>
  <si>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</si>
  <si>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</si>
  <si>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</si>
  <si>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</si>
  <si>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</si>
  <si>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</si>
  <si>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</si>
  <si>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</si>
  <si>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</si>
  <si>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</si>
  <si>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</si>
  <si>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</si>
  <si>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</si>
  <si>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</si>
  <si>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</si>
  <si>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</si>
  <si>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</si>
  <si>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</si>
  <si>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</si>
  <si>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</si>
  <si>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</si>
  <si>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</si>
  <si>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</si>
  <si>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</si>
  <si>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</si>
  <si>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</si>
  <si>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</si>
  <si>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</si>
  <si>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</si>
  <si>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</si>
  <si>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</si>
  <si>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</si>
  <si>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</si>
  <si>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</si>
  <si>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</si>
  <si>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</si>
  <si>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</si>
  <si>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</si>
  <si>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</si>
  <si>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</si>
  <si>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</si>
  <si>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</si>
  <si>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</si>
  <si>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</si>
  <si>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</si>
  <si>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</si>
  <si>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</si>
  <si>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</si>
  <si>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</si>
  <si>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</si>
  <si>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</si>
  <si>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</si>
  <si>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</si>
  <si>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</si>
  <si>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</si>
  <si>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</si>
  <si>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</si>
  <si>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</si>
  <si>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</si>
  <si>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</si>
  <si>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</si>
  <si>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</si>
  <si>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</si>
  <si>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</si>
  <si>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</si>
  <si>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</si>
  <si>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</si>
  <si>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</si>
  <si>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</si>
  <si>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</si>
  <si>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</si>
  <si>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</si>
  <si>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</si>
  <si>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</si>
  <si>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</si>
  <si>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</si>
  <si>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</si>
  <si>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</si>
  <si>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</si>
  <si>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</si>
  <si>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</si>
  <si>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</si>
  <si>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</si>
  <si>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</si>
  <si>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</si>
  <si>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</si>
  <si>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</si>
  <si>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</si>
  <si>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</si>
  <si>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</si>
  <si>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</si>
  <si>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</si>
  <si>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</si>
  <si>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</si>
  <si>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</si>
  <si>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</si>
  <si>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</si>
  <si>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</si>
  <si>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</si>
  <si>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</si>
  <si>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</si>
  <si>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</si>
  <si>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</si>
  <si>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</si>
  <si>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</si>
  <si>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</si>
  <si>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</si>
  <si>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</si>
  <si>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</si>
  <si>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</si>
  <si>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</si>
  <si>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</si>
  <si>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</si>
  <si>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</si>
  <si>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</si>
  <si>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</si>
  <si>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</si>
  <si>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</si>
  <si>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</si>
  <si>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</si>
  <si>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</si>
  <si>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</si>
  <si>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</si>
  <si>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</si>
  <si>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</si>
  <si>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</si>
  <si>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</si>
  <si>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</si>
  <si>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</si>
  <si>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</si>
  <si>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</si>
  <si>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</si>
  <si>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</si>
  <si>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</si>
  <si>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</si>
  <si>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</si>
  <si>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</si>
  <si>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</si>
  <si>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</si>
  <si>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</si>
  <si>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</si>
  <si>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</si>
  <si>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</si>
  <si>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</si>
  <si>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</si>
  <si>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</si>
  <si>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</si>
  <si>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</si>
  <si>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</si>
  <si>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</si>
  <si>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</si>
  <si>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</si>
  <si>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</si>
  <si>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</si>
  <si>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</si>
  <si>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</si>
  <si>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</si>
  <si>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</si>
  <si>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</si>
  <si>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</si>
  <si>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</si>
  <si>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</si>
  <si>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</si>
  <si>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</si>
  <si>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</si>
  <si>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</si>
  <si>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</si>
  <si>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</si>
  <si>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</si>
  <si>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</si>
  <si>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</si>
  <si>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</si>
  <si>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</si>
  <si>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</si>
  <si>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</si>
  <si>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</si>
  <si>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</si>
  <si>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</si>
  <si>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</si>
  <si>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</si>
  <si>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</si>
  <si>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</si>
  <si>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</si>
  <si>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</si>
  <si>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</si>
  <si>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</si>
  <si>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</si>
  <si>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</si>
  <si>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</si>
  <si>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</si>
  <si>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</si>
  <si>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</si>
  <si>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</si>
  <si>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</si>
  <si>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</si>
  <si>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</si>
  <si>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</si>
  <si>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</si>
  <si>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</si>
  <si>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</si>
  <si>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</si>
  <si>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</si>
  <si>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</si>
  <si>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</si>
  <si>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</si>
  <si>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</si>
  <si>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</si>
  <si>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</si>
  <si>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</si>
  <si>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</si>
  <si>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</si>
  <si>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</si>
  <si>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</si>
  <si>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</si>
  <si>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</si>
  <si>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</si>
  <si>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</si>
  <si>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</si>
  <si>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</si>
  <si>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</si>
  <si>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</si>
  <si>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</si>
  <si>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</si>
  <si>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</si>
  <si>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</si>
  <si>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</si>
  <si>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</si>
  <si>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</si>
  <si>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</si>
  <si>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</si>
  <si>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</si>
  <si>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</si>
  <si>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</si>
  <si>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</si>
  <si>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</si>
  <si>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</si>
  <si>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</si>
  <si>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</si>
  <si>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</si>
  <si>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</si>
  <si>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</si>
  <si>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</si>
  <si>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</si>
  <si>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</si>
  <si>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</si>
  <si>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</si>
  <si>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</si>
  <si>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</si>
  <si>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</si>
  <si>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</si>
  <si>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</si>
  <si>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</si>
  <si>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</si>
  <si>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</si>
  <si>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</si>
  <si>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</si>
  <si>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</si>
  <si>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</si>
  <si>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</si>
  <si>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</si>
  <si>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</si>
  <si>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</si>
  <si>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</si>
  <si>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</si>
  <si>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</si>
  <si>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</si>
  <si>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</si>
  <si>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</si>
  <si>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</si>
  <si>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</si>
  <si>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</si>
  <si>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</si>
  <si>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</si>
  <si>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</si>
  <si>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</si>
  <si>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</si>
  <si>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</si>
  <si>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</si>
  <si>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</si>
  <si>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</si>
  <si>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</si>
  <si>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</si>
  <si>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</si>
  <si>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</si>
  <si>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</si>
  <si>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</si>
  <si>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</si>
  <si>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</si>
  <si>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</si>
  <si>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</si>
  <si>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</si>
  <si>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</si>
  <si>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</si>
  <si>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</si>
  <si>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</si>
  <si>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</si>
  <si>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</si>
  <si>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</si>
  <si>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</si>
  <si>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</si>
  <si>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</si>
  <si>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</si>
  <si>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</si>
  <si>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</si>
  <si>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</si>
  <si>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</si>
  <si>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</si>
  <si>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</si>
  <si>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</si>
  <si>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</si>
  <si>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</si>
  <si>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</si>
  <si>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</si>
  <si>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</si>
  <si>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</si>
  <si>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</si>
  <si>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</si>
  <si>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</si>
  <si>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</si>
  <si>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</si>
  <si>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</si>
  <si>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</si>
  <si>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</si>
  <si>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</si>
  <si>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</si>
  <si>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</si>
  <si>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</si>
  <si>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</si>
  <si>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</si>
  <si>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</si>
  <si>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</si>
  <si>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</si>
  <si>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</si>
  <si>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</si>
  <si>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</si>
  <si>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</si>
  <si>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</si>
  <si>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</si>
  <si>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</si>
  <si>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</si>
  <si>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</si>
  <si>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</si>
  <si>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</si>
  <si>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</si>
  <si>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</si>
  <si>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</si>
  <si>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</si>
  <si>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</si>
  <si>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</si>
  <si>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</si>
  <si>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</si>
  <si>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</si>
  <si>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</si>
  <si>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</si>
  <si>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</si>
  <si>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</si>
  <si>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</si>
  <si>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</si>
  <si>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</si>
  <si>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</si>
  <si>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</si>
  <si>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</si>
  <si>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</si>
  <si>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</si>
  <si>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</si>
  <si>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</si>
  <si>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</si>
  <si>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</si>
  <si>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</si>
  <si>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</si>
  <si>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</si>
  <si>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</si>
  <si>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</si>
  <si>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</si>
  <si>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</si>
  <si>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</si>
  <si>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</si>
  <si>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</si>
  <si>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</si>
  <si>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</si>
  <si>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</si>
  <si>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</si>
  <si>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</si>
  <si>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</si>
  <si>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</si>
  <si>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</si>
  <si>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</si>
  <si>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</si>
  <si>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</si>
  <si>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</si>
  <si>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</si>
  <si>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</si>
  <si>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</si>
  <si>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</si>
  <si>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</si>
  <si>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</si>
  <si>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</si>
  <si>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</si>
  <si>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</si>
  <si>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</si>
  <si>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</si>
  <si>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</si>
  <si>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</si>
  <si>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</si>
  <si>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</si>
  <si>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</si>
  <si>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</si>
  <si>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</si>
  <si>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</si>
  <si>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</si>
  <si>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</si>
  <si>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</si>
  <si>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</si>
  <si>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</si>
  <si>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</si>
  <si>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</si>
  <si>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</si>
  <si>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</si>
  <si>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</si>
  <si>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</si>
  <si>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</si>
  <si>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</si>
  <si>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</si>
  <si>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</si>
  <si>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</si>
  <si>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</si>
  <si>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</si>
  <si>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</si>
  <si>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</si>
  <si>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</si>
  <si>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</si>
  <si>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</si>
  <si>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</si>
  <si>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</si>
  <si>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</si>
  <si>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</si>
  <si>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</si>
  <si>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</si>
  <si>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</si>
  <si>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</si>
  <si>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</si>
  <si>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</si>
  <si>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</si>
  <si>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</si>
  <si>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</si>
  <si>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</si>
  <si>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</si>
  <si>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</si>
  <si>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</si>
  <si>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</si>
  <si>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</si>
  <si>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</si>
  <si>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</si>
  <si>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</si>
  <si>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</si>
  <si>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</si>
  <si>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</si>
  <si>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</si>
  <si>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</si>
  <si>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</si>
  <si>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</si>
  <si>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</si>
  <si>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</si>
  <si>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</si>
  <si>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</si>
  <si>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</si>
  <si>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</si>
  <si>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</si>
  <si>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</si>
  <si>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</si>
  <si>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</si>
  <si>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</si>
  <si>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</si>
  <si>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</si>
  <si>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</si>
  <si>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</si>
  <si>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</si>
  <si>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</si>
  <si>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</si>
  <si>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</si>
  <si>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</si>
  <si>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</si>
  <si>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</si>
  <si>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</si>
  <si>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</si>
  <si>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</si>
  <si>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</si>
  <si>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</si>
  <si>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</si>
  <si>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</si>
  <si>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</si>
  <si>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</si>
  <si>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</si>
  <si>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</si>
  <si>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</si>
  <si>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</si>
  <si>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</si>
  <si>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</si>
  <si>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</si>
  <si>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</si>
  <si>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</si>
  <si>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</si>
  <si>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</si>
  <si>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</si>
  <si>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</si>
  <si>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</si>
  <si>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</si>
  <si>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</si>
  <si>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</si>
  <si>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</si>
  <si>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</si>
  <si>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</si>
  <si>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</si>
  <si>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</si>
  <si>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</si>
  <si>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</si>
  <si>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</si>
  <si>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</si>
  <si>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</si>
  <si>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</si>
  <si>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</si>
  <si>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</si>
  <si>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</si>
  <si>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</si>
  <si>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</si>
  <si>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</si>
  <si>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</si>
  <si>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</si>
  <si>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</si>
  <si>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</si>
  <si>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</si>
  <si>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</si>
  <si>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</si>
  <si>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</si>
  <si>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</si>
  <si>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</si>
  <si>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</si>
  <si>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</si>
  <si>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</si>
  <si>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</si>
  <si>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</si>
  <si>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</si>
  <si>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</si>
  <si>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</si>
  <si>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</si>
  <si>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</si>
  <si>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</si>
  <si>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</si>
  <si>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</si>
  <si>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</si>
  <si>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</si>
  <si>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</si>
  <si>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</si>
  <si>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</si>
  <si>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</si>
  <si>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</si>
  <si>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</si>
  <si>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</si>
  <si>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</si>
  <si>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</si>
  <si>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</si>
  <si>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</si>
  <si>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</si>
  <si>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</si>
  <si>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</si>
  <si>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</si>
  <si>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</si>
  <si>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</si>
  <si>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</si>
  <si>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</si>
  <si>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</si>
  <si>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</si>
  <si>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</si>
  <si>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</si>
  <si>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</si>
  <si>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</si>
  <si>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</si>
  <si>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</si>
  <si>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</si>
  <si>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</si>
  <si>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</si>
  <si>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</si>
  <si>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</si>
  <si>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</si>
  <si>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</si>
  <si>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</si>
  <si>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</si>
  <si>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</si>
  <si>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</si>
  <si>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</si>
  <si>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</si>
  <si>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</si>
  <si>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</si>
  <si>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</si>
  <si>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</si>
  <si>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</si>
  <si>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</si>
  <si>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</si>
  <si>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</si>
  <si>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</si>
  <si>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</si>
  <si>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</si>
  <si>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</si>
  <si>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</si>
  <si>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</si>
  <si>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</si>
  <si>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</si>
  <si>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</si>
  <si>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</si>
  <si>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</si>
  <si>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</si>
  <si>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</si>
  <si>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</si>
  <si>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</si>
  <si>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</si>
  <si>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</si>
  <si>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</si>
  <si>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</si>
  <si>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</si>
  <si>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</si>
  <si>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</si>
  <si>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</si>
  <si>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</si>
  <si>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</si>
  <si>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</si>
  <si>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</si>
  <si>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</si>
  <si>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</si>
  <si>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</si>
  <si>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</si>
  <si>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</si>
  <si>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</si>
  <si>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</si>
  <si>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</si>
  <si>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</si>
  <si>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</si>
  <si>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</si>
  <si>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</si>
  <si>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</si>
  <si>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</si>
  <si>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</si>
  <si>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</si>
  <si>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</si>
  <si>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</si>
  <si>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</si>
  <si>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</si>
  <si>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</si>
  <si>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</si>
  <si>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</si>
  <si>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</si>
  <si>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</si>
  <si>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</si>
  <si>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</si>
  <si>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</si>
  <si>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</si>
  <si>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</si>
  <si>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</si>
  <si>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</si>
  <si>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</si>
  <si>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</si>
  <si>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</si>
  <si>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</si>
  <si>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</si>
  <si>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</si>
  <si>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</si>
  <si>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</si>
  <si>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</si>
  <si>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</si>
  <si>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</si>
  <si>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</si>
  <si>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</si>
  <si>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</si>
  <si>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</si>
  <si>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</si>
  <si>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</si>
  <si>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</si>
  <si>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</si>
  <si>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</si>
  <si>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</si>
  <si>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</si>
  <si>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</si>
  <si>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</si>
  <si>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</si>
  <si>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</si>
  <si>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</si>
  <si>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</si>
  <si>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</si>
  <si>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</si>
  <si>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</si>
  <si>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</si>
  <si>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</si>
  <si>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</si>
  <si>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</si>
  <si>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</si>
  <si>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</si>
  <si>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</si>
  <si>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</si>
  <si>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</si>
  <si>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</si>
  <si>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</si>
  <si>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</si>
  <si>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</si>
  <si>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</si>
  <si>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</si>
  <si>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</si>
  <si>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</si>
  <si>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</si>
  <si>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</si>
  <si>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</si>
  <si>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</si>
  <si>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</si>
  <si>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</si>
  <si>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</si>
  <si>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</si>
  <si>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</si>
  <si>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</si>
  <si>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</si>
  <si>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</si>
  <si>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</si>
  <si>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</si>
  <si>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</si>
  <si>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</si>
  <si>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</si>
  <si>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</si>
  <si>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</si>
  <si>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</si>
  <si>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</si>
  <si>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</si>
  <si>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</si>
  <si>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</si>
  <si>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</si>
  <si>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</si>
  <si>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</si>
  <si>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</si>
  <si>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</si>
  <si>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</si>
  <si>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</si>
  <si>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</si>
  <si>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</si>
  <si>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</si>
  <si>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</si>
  <si>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</si>
  <si>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</si>
  <si>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</si>
  <si>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</si>
  <si>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</si>
  <si>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</si>
  <si>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</si>
  <si>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</si>
  <si>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</si>
  <si>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</si>
  <si>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</si>
  <si>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</si>
  <si>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</si>
  <si>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</si>
  <si>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</si>
  <si>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</si>
  <si>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</si>
  <si>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</si>
  <si>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</si>
  <si>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</si>
  <si>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</si>
  <si>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</si>
  <si>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</si>
  <si>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</si>
  <si>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</si>
  <si>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</si>
  <si>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</si>
  <si>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</si>
  <si>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</si>
  <si>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</si>
  <si>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</si>
  <si>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</si>
  <si>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</si>
  <si>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</si>
  <si>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</si>
  <si>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</si>
  <si>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</si>
  <si>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</si>
  <si>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</si>
  <si>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</si>
  <si>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</si>
  <si>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</si>
  <si>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</si>
  <si>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</si>
  <si>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</si>
  <si>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</si>
  <si>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</si>
  <si>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</si>
  <si>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</si>
  <si>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</si>
  <si>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</si>
  <si>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</si>
  <si>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</si>
  <si>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</si>
  <si>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</si>
  <si>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</si>
  <si>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</si>
  <si>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</si>
  <si>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</si>
  <si>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</si>
  <si>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</si>
  <si>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</si>
  <si>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</si>
  <si>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</si>
  <si>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</si>
  <si>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</si>
  <si>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</si>
  <si>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</si>
  <si>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</si>
  <si>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</si>
  <si>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</si>
  <si>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</si>
  <si>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</si>
  <si>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</si>
  <si>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</si>
  <si>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</si>
  <si>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</si>
  <si>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</si>
  <si>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</si>
  <si>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</si>
  <si>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</si>
  <si>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</si>
  <si>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</si>
  <si>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</si>
  <si>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</si>
  <si>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</si>
  <si>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</si>
  <si>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</si>
  <si>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</si>
  <si>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</si>
  <si>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</si>
  <si>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</si>
  <si>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</si>
  <si>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</si>
  <si>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</si>
  <si>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</si>
  <si>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</si>
  <si>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</si>
  <si>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</si>
  <si>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</si>
  <si>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</si>
  <si>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</si>
  <si>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</si>
  <si>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</si>
  <si>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</si>
  <si>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</si>
  <si>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</si>
  <si>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</si>
  <si>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</si>
  <si>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</si>
  <si>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</si>
  <si>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</si>
  <si>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</si>
  <si>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</si>
  <si>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</si>
  <si>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</si>
  <si>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</si>
  <si>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</si>
  <si>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</si>
  <si>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</si>
  <si>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</si>
  <si>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</si>
  <si>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</si>
  <si>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</si>
  <si>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</si>
  <si>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</si>
  <si>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</si>
  <si>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</si>
  <si>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</si>
  <si>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</si>
  <si>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</si>
  <si>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</si>
  <si>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</si>
  <si>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</si>
  <si>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</si>
  <si>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</si>
  <si>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</si>
  <si>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</si>
  <si>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</si>
  <si>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</si>
  <si>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</si>
  <si>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</si>
  <si>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</si>
  <si>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</si>
  <si>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</si>
  <si>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</si>
  <si>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</si>
  <si>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</si>
  <si>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</si>
  <si>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</si>
  <si>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</si>
  <si>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</si>
  <si>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</si>
  <si>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</si>
  <si>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</si>
  <si>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</si>
  <si>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</si>
  <si>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</si>
  <si>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</si>
  <si>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</si>
  <si>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</si>
  <si>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</si>
  <si>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</si>
  <si>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</si>
  <si>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</si>
  <si>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</si>
  <si>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</si>
  <si>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</si>
  <si>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</si>
  <si>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</si>
  <si>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</si>
  <si>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</si>
  <si>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</si>
  <si>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</si>
  <si>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</si>
  <si>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</si>
  <si>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</si>
  <si>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</si>
  <si>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</si>
  <si>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</si>
  <si>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</si>
  <si>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</si>
  <si>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</si>
  <si>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</si>
  <si>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</si>
  <si>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</si>
  <si>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</si>
  <si>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</si>
  <si>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</si>
  <si>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</si>
  <si>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</si>
  <si>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</si>
  <si>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</si>
  <si>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</si>
  <si>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</si>
  <si>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</si>
  <si>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</si>
  <si>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</si>
  <si>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</si>
  <si>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</si>
  <si>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</si>
  <si>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</si>
  <si>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</si>
  <si>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</si>
  <si>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</si>
  <si>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</si>
  <si>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</si>
  <si>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</si>
  <si>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</si>
  <si>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</si>
  <si>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</si>
  <si>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</si>
  <si>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</si>
  <si>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</si>
  <si>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</si>
  <si>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</si>
  <si>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</si>
  <si>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</si>
  <si>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</si>
  <si>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</si>
  <si>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</si>
  <si>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</si>
  <si>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</si>
  <si>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</si>
  <si>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</si>
  <si>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</si>
  <si>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</si>
  <si>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</si>
  <si>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</si>
  <si>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</si>
  <si>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</si>
  <si>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</si>
  <si>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</si>
  <si>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</si>
  <si>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</si>
  <si>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</si>
  <si>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</si>
  <si>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</si>
  <si>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</si>
  <si>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</si>
  <si>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</si>
  <si>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</si>
  <si>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</si>
  <si>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</si>
  <si>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</si>
  <si>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</si>
  <si>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</si>
  <si>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</si>
  <si>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</si>
  <si>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</si>
  <si>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</si>
  <si>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</si>
  <si>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</si>
  <si>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</si>
  <si>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</si>
  <si>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</si>
  <si>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</si>
  <si>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</si>
  <si>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</si>
  <si>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</si>
  <si>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</si>
  <si>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</si>
  <si>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</si>
  <si>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</si>
  <si>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</si>
  <si>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</si>
  <si>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</si>
  <si>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</si>
  <si>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</si>
  <si>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</si>
  <si>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</si>
  <si>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</si>
  <si>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</si>
  <si>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</si>
  <si>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</si>
  <si>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</si>
  <si>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</si>
  <si>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</si>
  <si>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</si>
  <si>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</si>
  <si>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</si>
  <si>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</si>
  <si>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</si>
  <si>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</si>
  <si>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</si>
  <si>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</si>
  <si>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</si>
  <si>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</si>
  <si>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</si>
  <si>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</si>
  <si>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</si>
  <si>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</si>
  <si>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</si>
  <si>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</si>
  <si>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</si>
  <si>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</si>
  <si>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</si>
  <si>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</si>
  <si>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</si>
  <si>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</si>
  <si>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</si>
  <si>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</si>
  <si>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</si>
  <si>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</si>
  <si>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</si>
  <si>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</si>
  <si>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</si>
  <si>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</si>
  <si>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</si>
  <si>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</si>
  <si>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</si>
  <si>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</si>
  <si>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</si>
  <si>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</si>
  <si>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</si>
  <si>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</si>
  <si>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</si>
  <si>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</si>
  <si>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</si>
  <si>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</si>
  <si>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</si>
  <si>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</si>
  <si>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</si>
  <si>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</si>
  <si>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</si>
  <si>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</si>
  <si>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</si>
  <si>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</si>
  <si>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</si>
  <si>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</si>
  <si>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</si>
  <si>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</si>
  <si>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</si>
  <si>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</si>
  <si>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</si>
  <si>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</si>
  <si>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</si>
  <si>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</si>
  <si>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</si>
  <si>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</si>
  <si>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</si>
  <si>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</si>
  <si>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</si>
  <si>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</si>
  <si>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</si>
  <si>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</si>
  <si>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</si>
  <si>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</si>
  <si>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</si>
  <si>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</si>
  <si>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</si>
  <si>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</si>
  <si>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</si>
  <si>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</si>
  <si>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</si>
  <si>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</si>
  <si>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</si>
  <si>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</si>
  <si>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</si>
  <si>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</si>
  <si>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</si>
  <si>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</si>
  <si>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</si>
  <si>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</si>
  <si>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</si>
  <si>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</si>
  <si>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</si>
  <si>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</si>
  <si>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</si>
  <si>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</si>
  <si>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</si>
  <si>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</si>
  <si>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</si>
  <si>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</si>
  <si>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</si>
  <si>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</si>
  <si>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</si>
  <si>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</si>
  <si>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</si>
  <si>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</si>
  <si>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</si>
  <si>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</si>
  <si>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</si>
  <si>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</si>
  <si>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</si>
  <si>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</si>
  <si>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</si>
  <si>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</si>
  <si>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</si>
  <si>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</si>
  <si>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</si>
  <si>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</si>
  <si>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</si>
  <si>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</si>
  <si>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</si>
  <si>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</si>
  <si>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</si>
  <si>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</si>
  <si>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</si>
  <si>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</si>
  <si>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</si>
  <si>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</si>
  <si>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</si>
  <si>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</si>
  <si>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</si>
  <si>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</si>
  <si>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</si>
  <si>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</si>
  <si>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</si>
  <si>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</si>
  <si>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</si>
  <si>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</si>
  <si>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</si>
  <si>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</si>
  <si>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</si>
  <si>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</si>
  <si>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</si>
  <si>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</si>
  <si>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</si>
  <si>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</si>
  <si>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</si>
  <si>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</si>
  <si>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</si>
  <si>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</si>
  <si>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</si>
  <si>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</si>
  <si>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</si>
  <si>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</si>
  <si>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</si>
  <si>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</si>
  <si>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</si>
  <si>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</si>
  <si>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</si>
  <si>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</si>
  <si>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</si>
  <si>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</si>
  <si>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</si>
  <si>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</si>
  <si>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</si>
  <si>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</si>
  <si>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</si>
  <si>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</si>
  <si>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</si>
  <si>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</si>
  <si>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</si>
  <si>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</si>
  <si>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</si>
  <si>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</si>
  <si>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</si>
  <si>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</si>
  <si>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</si>
  <si>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</si>
  <si>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</si>
  <si>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</si>
  <si>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</si>
  <si>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</si>
  <si>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</si>
  <si>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</si>
  <si>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</si>
  <si>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</si>
  <si>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</si>
  <si>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</si>
  <si>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</si>
  <si>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</si>
  <si>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</si>
  <si>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</si>
  <si>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</si>
  <si>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</si>
  <si>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</si>
  <si>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</si>
  <si>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</si>
  <si>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</si>
  <si>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</si>
  <si>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</si>
  <si>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</si>
  <si>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</si>
  <si>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</si>
  <si>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</si>
  <si>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</si>
  <si>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</si>
  <si>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</si>
  <si>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</si>
  <si>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</si>
  <si>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</si>
  <si>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</si>
  <si>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</si>
  <si>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</si>
  <si>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</si>
  <si>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</si>
  <si>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</si>
  <si>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</si>
  <si>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</si>
  <si>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</si>
  <si>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</si>
  <si>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</si>
  <si>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</si>
  <si>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</si>
  <si>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</si>
  <si>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</si>
  <si>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</si>
  <si>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</si>
  <si>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</si>
  <si>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</si>
  <si>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</si>
  <si>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</si>
  <si>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</si>
  <si>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</si>
  <si>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</si>
  <si>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</si>
  <si>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</si>
  <si>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</si>
  <si>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</si>
  <si>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</si>
  <si>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</si>
  <si>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</si>
  <si>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</si>
  <si>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</si>
  <si>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</si>
  <si>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</si>
  <si>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</si>
  <si>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JOYCE LAMBERT, JULIEN FLORENTIN</t>
  </si>
  <si>
    <t xml:space="preserve">ARGENS</t>
  </si>
  <si>
    <t xml:space="preserve">ARGENS A LE-THORONET 4</t>
  </si>
  <si>
    <t xml:space="preserve">06300121</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</si>
  <si>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</si>
  <si>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</si>
  <si>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</si>
  <si>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</si>
  <si>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</si>
  <si>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</si>
  <si>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</si>
  <si>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</si>
  <si>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</si>
  <si>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niveau trophique</t>
  </si>
  <si>
    <t xml:space="preserve">élevé</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</si>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</sst>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42971</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9.25</v>
      </c>
      <c r="N5" s="324"/>
      <c r="O5" s="325" t="s">
        <v>723</v>
      </c>
      <c r="P5" s="326" t="n">
        <v>7.70588235294118</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100</v>
      </c>
      <c r="C7" s="342"/>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8.88888888888889</v>
      </c>
      <c r="P8" s="356" t="n">
        <f aca="false">IF(ISERROR(AVERAGE(K23:K82)),"  ",AVERAGE(K23:K82))</f>
        <v>1.72222222222222</v>
      </c>
      <c r="Q8" s="357"/>
      <c r="R8" s="281"/>
      <c r="S8" s="281"/>
      <c r="T8" s="281"/>
      <c r="U8" s="281"/>
      <c r="V8" s="281"/>
      <c r="W8" s="295"/>
      <c r="X8" s="0"/>
      <c r="Y8" s="0"/>
      <c r="Z8" s="0"/>
    </row>
    <row r="9" customFormat="false" ht="12.75" hidden="false" customHeight="false" outlineLevel="0" collapsed="false">
      <c r="A9" s="314" t="s">
        <v>3399</v>
      </c>
      <c r="B9" s="358" t="n">
        <v>2</v>
      </c>
      <c r="C9" s="359"/>
      <c r="D9" s="360"/>
      <c r="E9" s="360"/>
      <c r="F9" s="361" t="n">
        <f aca="false">($B9*$B$7+$C9*$C$7)/100</f>
        <v>2</v>
      </c>
      <c r="G9" s="362"/>
      <c r="H9" s="317"/>
      <c r="I9" s="281"/>
      <c r="J9" s="363"/>
      <c r="K9" s="364"/>
      <c r="L9" s="347"/>
      <c r="M9" s="365"/>
      <c r="N9" s="355" t="s">
        <v>3400</v>
      </c>
      <c r="O9" s="356" t="n">
        <f aca="false">IF(ISERROR(STDEVP(J23:J82))," ",STDEVP(J23:J82))</f>
        <v>4.06733449282736</v>
      </c>
      <c r="P9" s="356" t="n">
        <f aca="false">IF(ISERROR(STDEVP(K23:K82)),"  ",STDEVP(K23:K82))</f>
        <v>0.65026110615109</v>
      </c>
      <c r="Q9" s="357"/>
      <c r="R9" s="281"/>
      <c r="S9" s="281"/>
      <c r="T9" s="281"/>
      <c r="U9" s="281"/>
      <c r="V9" s="281"/>
      <c r="W9" s="295"/>
      <c r="X9" s="0"/>
      <c r="Y9" s="0"/>
      <c r="Z9" s="0"/>
    </row>
    <row r="10" customFormat="false" ht="12.75" hidden="false" customHeight="false" outlineLevel="0" collapsed="false">
      <c r="A10" s="314" t="s">
        <v>3401</v>
      </c>
      <c r="B10" s="366" t="s">
        <v>3402</v>
      </c>
      <c r="C10" s="367"/>
      <c r="D10" s="360"/>
      <c r="E10" s="360"/>
      <c r="F10" s="361"/>
      <c r="G10" s="362"/>
      <c r="H10" s="330"/>
      <c r="I10" s="281"/>
      <c r="J10" s="368"/>
      <c r="K10" s="369" t="s">
        <v>3403</v>
      </c>
      <c r="L10" s="370"/>
      <c r="M10" s="371"/>
      <c r="N10" s="355" t="s">
        <v>3404</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10</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4</v>
      </c>
      <c r="M13" s="381"/>
      <c r="N13" s="389" t="s">
        <v>3412</v>
      </c>
      <c r="O13" s="390" t="n">
        <f aca="false">COUNTIF(F23:F82,"&gt;0")</f>
        <v>20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18</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6</v>
      </c>
      <c r="M15" s="381"/>
      <c r="N15" s="389" t="s">
        <v>3418</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9</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0.9</v>
      </c>
      <c r="N17" s="389" t="s">
        <v>3423</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1.77</v>
      </c>
      <c r="C20" s="433" t="n">
        <f aca="false">SUM(C23:C82)</f>
        <v>0</v>
      </c>
      <c r="D20" s="434"/>
      <c r="E20" s="435" t="s">
        <v>3425</v>
      </c>
      <c r="F20" s="436" t="n">
        <f aca="false">($B20*$B$7+$C20*$C$7)/100</f>
        <v>1.77</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1.77</v>
      </c>
      <c r="C21" s="444" t="n">
        <f aca="false">C20*C7/100</f>
        <v>0</v>
      </c>
      <c r="D21" s="445" t="s">
        <v>3428</v>
      </c>
      <c r="E21" s="446"/>
      <c r="F21" s="447" t="n">
        <f aca="false">B21+C21</f>
        <v>1.77</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127</v>
      </c>
      <c r="B23" s="472" t="n">
        <v>0.01</v>
      </c>
      <c r="C23" s="473"/>
      <c r="D23" s="474" t="str">
        <f aca="false">IF(ISERROR(VLOOKUP($A23,'liste reference'!$A$6:$B$1174,2,0)),IF(ISERROR(VLOOKUP($A23,'liste reference'!$B$6:$B$1174,1,0)),"",VLOOKUP($A23,'liste reference'!$B$6:$B$1174,1,0)),VLOOKUP($A23,'liste reference'!$A$6:$B$1174,2,0))</f>
        <v>Chara vulgaris</v>
      </c>
      <c r="E23" s="475" t="e">
        <f aca="false">IF(D23="",0,VLOOKUP(D23,D$22:D22,1,0))</f>
        <v>#N/A</v>
      </c>
      <c r="F23" s="476" t="n">
        <f aca="false">IF(AND(OR(A23="",A23="!!!!!!"),B23="",C23=""),"",IF(OR(AND(B23="",C23=""),ISERROR(C23+B23)),"!!!",($B23*$B$7+$C23*$C$7)/100))</f>
        <v>0.01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Chara vulgaris</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5261</v>
      </c>
      <c r="R23" s="484" t="n">
        <f aca="false">IF(ISTEXT(H23),"",(B23*$B$7/100)+(C23*$C$7/100))</f>
        <v>0.01</v>
      </c>
      <c r="S23" s="485" t="n">
        <f aca="false">IF(OR(ISTEXT(H23),R23=0),"",IF(R23&lt;0.1,1,IF(R23&lt;1,2,IF(R23&lt;10,3,IF(R23&lt;50,4,IF(R23&gt;=50,5,""))))))</f>
        <v>1</v>
      </c>
      <c r="T23" s="485" t="n">
        <f aca="false">IF(ISERROR(S23*J23),0,S23*J23)</f>
        <v>13</v>
      </c>
      <c r="U23" s="485" t="n">
        <f aca="false">IF(ISERROR(S23*J23*K23),0,S23*J23*K23)</f>
        <v>13</v>
      </c>
      <c r="V23" s="485" t="n">
        <f aca="false">IF(ISERROR(S23*K23),0,S23*K23)</f>
        <v>1</v>
      </c>
      <c r="W23" s="486"/>
      <c r="X23" s="487"/>
      <c r="Y23" s="488" t="str">
        <f aca="false">IF(AND(ISNUMBER(F23),OR(A23="",A23="!!!!!!")),"!!!!!!",IF(A23="new.cod","NEWCOD",IF(AND((Z23=""),ISTEXT(A23),A23&lt;&gt;"!!!!!!"),A23,IF(Z23="","",INDEX('liste reference'!$A$6:$A$1174,Z23)))))</f>
        <v>CHAVUL</v>
      </c>
      <c r="Z23" s="470" t="n">
        <f aca="false">IF(ISERROR(MATCH(A23,'liste reference'!$A$6:$A$1174,0)),IF(ISERROR(MATCH(A23,'liste reference'!$B$6:$B$1174,0)),"",(MATCH(A23,'liste reference'!$B$6:$B$1174,0))),(MATCH(A23,'liste reference'!$A$6:$A$1174,0)))</f>
        <v>32</v>
      </c>
    </row>
    <row r="24" customFormat="false" ht="12.75" hidden="false" customHeight="false" outlineLevel="0" collapsed="false">
      <c r="A24" s="489" t="s">
        <v>134</v>
      </c>
      <c r="B24" s="490" t="n">
        <v>1</v>
      </c>
      <c r="C24" s="491"/>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1</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1</v>
      </c>
      <c r="S24" s="485" t="n">
        <f aca="false">IF(OR(ISTEXT(H24),R24=0),"",IF(R24&lt;0.1,1,IF(R24&lt;1,2,IF(R24&lt;10,3,IF(R24&lt;50,4,IF(R24&gt;=50,5,""))))))</f>
        <v>3</v>
      </c>
      <c r="T24" s="485" t="n">
        <f aca="false">IF(ISERROR(S24*J24),0,S24*J24)</f>
        <v>18</v>
      </c>
      <c r="U24" s="485" t="n">
        <f aca="false">IF(ISERROR(S24*J24*K24),0,S24*J24*K24)</f>
        <v>18</v>
      </c>
      <c r="V24" s="501" t="n">
        <f aca="false">IF(ISERROR(S24*K24),0,S24*K24)</f>
        <v>3</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151</v>
      </c>
      <c r="B25" s="490" t="n">
        <v>0.01</v>
      </c>
      <c r="C25" s="491"/>
      <c r="D25" s="492" t="str">
        <f aca="false">IF(ISERROR(VLOOKUP($A25,'liste reference'!$A$6:$B$1174,2,0)),IF(ISERROR(VLOOKUP($A25,'liste reference'!$B$6:$B$1174,1,0)),"",VLOOKUP($A25,'liste reference'!$B$6:$B$1174,1,0)),VLOOKUP($A25,'liste reference'!$A$6:$B$1174,2,0))</f>
        <v>Diatoma sp.</v>
      </c>
      <c r="E25" s="493" t="e">
        <f aca="false">IF(D25="",0,VLOOKUP(D25,D$22:D24,1,0))</f>
        <v>#N/A</v>
      </c>
      <c r="F25" s="494" t="n">
        <f aca="false">IF(AND(OR(A25="",A25="!!!!!!"),B25="",C25=""),"",IF(OR(AND(B25="",C25=""),ISERROR(C25+B25)),"!!!",($B25*$B$7+$C25*$C$7)/100))</f>
        <v>0.01</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12</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Diatoma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6627</v>
      </c>
      <c r="R25" s="484" t="n">
        <f aca="false">IF(ISTEXT(H25),"",(B25*$B$7/100)+(C25*$C$7/100))</f>
        <v>0.01</v>
      </c>
      <c r="S25" s="485" t="n">
        <f aca="false">IF(OR(ISTEXT(H25),R25=0),"",IF(R25&lt;0.1,1,IF(R25&lt;1,2,IF(R25&lt;10,3,IF(R25&lt;50,4,IF(R25&gt;=50,5,""))))))</f>
        <v>1</v>
      </c>
      <c r="T25" s="485" t="n">
        <f aca="false">IF(ISERROR(S25*J25),0,S25*J25)</f>
        <v>12</v>
      </c>
      <c r="U25" s="485" t="n">
        <f aca="false">IF(ISERROR(S25*J25*K25),0,S25*J25*K25)</f>
        <v>24</v>
      </c>
      <c r="V25" s="501" t="n">
        <f aca="false">IF(ISERROR(S25*K25),0,S25*K25)</f>
        <v>2</v>
      </c>
      <c r="W25" s="502"/>
      <c r="X25" s="503"/>
      <c r="Y25" s="488" t="str">
        <f aca="false">IF(AND(ISNUMBER(F25),OR(A25="",A25="!!!!!!")),"!!!!!!",IF(A25="new.cod","NEWCOD",IF(AND((Z25=""),ISTEXT(A25),A25&lt;&gt;"!!!!!!"),A25,IF(Z25="","",INDEX('liste reference'!$A$6:$A$1174,Z25)))))</f>
        <v>DIASPX</v>
      </c>
      <c r="Z25" s="470" t="n">
        <f aca="false">IF(ISERROR(MATCH(A25,'liste reference'!$A$6:$A$1174,0)),IF(ISERROR(MATCH(A25,'liste reference'!$B$6:$B$1174,0)),"",(MATCH(A25,'liste reference'!$B$6:$B$1174,0))),(MATCH(A25,'liste reference'!$A$6:$A$1174,0)))</f>
        <v>40</v>
      </c>
    </row>
    <row r="26" customFormat="false" ht="12.75" hidden="false" customHeight="false" outlineLevel="0" collapsed="false">
      <c r="A26" s="489" t="s">
        <v>228</v>
      </c>
      <c r="B26" s="490" t="n">
        <v>0.01</v>
      </c>
      <c r="C26" s="491"/>
      <c r="D26" s="492" t="str">
        <f aca="false">IF(ISERROR(VLOOKUP($A26,'liste reference'!$A$6:$B$1174,2,0)),IF(ISERROR(VLOOKUP($A26,'liste reference'!$B$6:$B$1174,1,0)),"",VLOOKUP($A26,'liste reference'!$B$6:$B$1174,1,0)),VLOOKUP($A26,'liste reference'!$A$6:$B$1174,2,0))</f>
        <v>Melosira sp.</v>
      </c>
      <c r="E26" s="493" t="e">
        <f aca="false">IF(D26="",0,VLOOKUP(D26,D$22:D25,1,0))</f>
        <v>#N/A</v>
      </c>
      <c r="F26" s="494" t="n">
        <f aca="false">IF(AND(OR(A26="",A26="!!!!!!"),B26="",C26=""),"",IF(OR(AND(B26="",C26=""),ISERROR(C26+B26)),"!!!",($B26*$B$7+$C26*$C$7)/100))</f>
        <v>0.01</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Melosira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8714</v>
      </c>
      <c r="R26" s="484" t="n">
        <f aca="false">IF(ISTEXT(H26),"",(B26*$B$7/100)+(C26*$C$7/100))</f>
        <v>0.01</v>
      </c>
      <c r="S26" s="485" t="n">
        <f aca="false">IF(OR(ISTEXT(H26),R26=0),"",IF(R26&lt;0.1,1,IF(R26&lt;1,2,IF(R26&lt;10,3,IF(R26&lt;50,4,IF(R26&gt;=50,5,""))))))</f>
        <v>1</v>
      </c>
      <c r="T26" s="485" t="n">
        <f aca="false">IF(ISERROR(S26*J26),0,S26*J26)</f>
        <v>10</v>
      </c>
      <c r="U26" s="485" t="n">
        <f aca="false">IF(ISERROR(S26*J26*K26),0,S26*J26*K26)</f>
        <v>10</v>
      </c>
      <c r="V26" s="501" t="n">
        <f aca="false">IF(ISERROR(S26*K26),0,S26*K26)</f>
        <v>1</v>
      </c>
      <c r="W26" s="502"/>
      <c r="X26" s="503"/>
      <c r="Y26" s="488" t="str">
        <f aca="false">IF(AND(ISNUMBER(F26),OR(A26="",A26="!!!!!!")),"!!!!!!",IF(A26="new.cod","NEWCOD",IF(AND((Z26=""),ISTEXT(A26),A26&lt;&gt;"!!!!!!"),A26,IF(Z26="","",INDEX('liste reference'!$A$6:$A$1174,Z26)))))</f>
        <v>MELSPX</v>
      </c>
      <c r="Z26" s="470" t="n">
        <f aca="false">IF(ISERROR(MATCH(A26,'liste reference'!$A$6:$A$1174,0)),IF(ISERROR(MATCH(A26,'liste reference'!$B$6:$B$1174,0)),"",(MATCH(A26,'liste reference'!$B$6:$B$1174,0))),(MATCH(A26,'liste reference'!$A$6:$A$1174,0)))</f>
        <v>62</v>
      </c>
    </row>
    <row r="27" customFormat="false" ht="12.75" hidden="false" customHeight="false" outlineLevel="0" collapsed="false">
      <c r="A27" s="489" t="s">
        <v>291</v>
      </c>
      <c r="B27" s="490" t="n">
        <v>0.01</v>
      </c>
      <c r="C27" s="491"/>
      <c r="D27" s="492" t="str">
        <f aca="false">IF(ISERROR(VLOOKUP($A27,'liste reference'!$A$6:$B$1174,2,0)),IF(ISERROR(VLOOKUP($A27,'liste reference'!$B$6:$B$1174,1,0)),"",VLOOKUP($A27,'liste reference'!$B$6:$B$1174,1,0)),VLOOKUP($A27,'liste reference'!$A$6:$B$1174,2,0))</f>
        <v>Nostoc sp.</v>
      </c>
      <c r="E27" s="493" t="e">
        <f aca="false">IF(D27="",0,VLOOKUP(D27,D$22:D26,1,0))</f>
        <v>#N/A</v>
      </c>
      <c r="F27" s="494" t="n">
        <f aca="false">IF(AND(OR(A27="",A27="!!!!!!"),B27="",C27=""),"",IF(OR(AND(B27="",C27=""),ISERROR(C27+B27)),"!!!",($B27*$B$7+$C27*$C$7)/100))</f>
        <v>0.01</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9</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Nostoc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1105</v>
      </c>
      <c r="R27" s="484" t="n">
        <f aca="false">IF(ISTEXT(H27),"",(B27*$B$7/100)+(C27*$C$7/100))</f>
        <v>0.01</v>
      </c>
      <c r="S27" s="485" t="n">
        <f aca="false">IF(OR(ISTEXT(H27),R27=0),"",IF(R27&lt;0.1,1,IF(R27&lt;1,2,IF(R27&lt;10,3,IF(R27&lt;50,4,IF(R27&gt;=50,5,""))))))</f>
        <v>1</v>
      </c>
      <c r="T27" s="485" t="n">
        <f aca="false">IF(ISERROR(S27*J27),0,S27*J27)</f>
        <v>9</v>
      </c>
      <c r="U27" s="485" t="n">
        <f aca="false">IF(ISERROR(S27*J27*K27),0,S27*J27*K27)</f>
        <v>9</v>
      </c>
      <c r="V27" s="501" t="n">
        <f aca="false">IF(ISERROR(S27*K27),0,S27*K27)</f>
        <v>1</v>
      </c>
      <c r="W27" s="502"/>
      <c r="X27" s="503"/>
      <c r="Y27" s="488" t="str">
        <f aca="false">IF(AND(ISNUMBER(F27),OR(A27="",A27="!!!!!!")),"!!!!!!",IF(A27="new.cod","NEWCOD",IF(AND((Z27=""),ISTEXT(A27),A27&lt;&gt;"!!!!!!"),A27,IF(Z27="","",INDEX('liste reference'!$A$6:$A$1174,Z27)))))</f>
        <v>NOSSPX</v>
      </c>
      <c r="Z27" s="470" t="n">
        <f aca="false">IF(ISERROR(MATCH(A27,'liste reference'!$A$6:$A$1174,0)),IF(ISERROR(MATCH(A27,'liste reference'!$B$6:$B$1174,0)),"",(MATCH(A27,'liste reference'!$B$6:$B$1174,0))),(MATCH(A27,'liste reference'!$A$6:$A$1174,0)))</f>
        <v>84</v>
      </c>
    </row>
    <row r="28" customFormat="false" ht="12.75" hidden="false" customHeight="false" outlineLevel="0" collapsed="false">
      <c r="A28" s="489" t="s">
        <v>300</v>
      </c>
      <c r="B28" s="490" t="n">
        <v>0.02</v>
      </c>
      <c r="C28" s="491"/>
      <c r="D28" s="492" t="str">
        <f aca="false">IF(ISERROR(VLOOKUP($A28,'liste reference'!$A$6:$B$1174,2,0)),IF(ISERROR(VLOOKUP($A28,'liste reference'!$B$6:$B$1174,1,0)),"",VLOOKUP($A28,'liste reference'!$B$6:$B$1174,1,0)),VLOOKUP($A28,'liste reference'!$A$6:$B$1174,2,0))</f>
        <v>Oedogonium sp.</v>
      </c>
      <c r="E28" s="493" t="e">
        <f aca="false">IF(D28="",0,VLOOKUP(D28,D$22:D27,1,0))</f>
        <v>#N/A</v>
      </c>
      <c r="F28" s="494" t="n">
        <f aca="false">IF(AND(OR(A28="",A28="!!!!!!"),B28="",C28=""),"",IF(OR(AND(B28="",C28=""),ISERROR(C28+B28)),"!!!",($B28*$B$7+$C28*$C$7)/100))</f>
        <v>0.02</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6</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Oedogonium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1134</v>
      </c>
      <c r="R28" s="484" t="n">
        <f aca="false">IF(ISTEXT(H28),"",(B28*$B$7/100)+(C28*$C$7/100))</f>
        <v>0.02</v>
      </c>
      <c r="S28" s="485" t="n">
        <f aca="false">IF(OR(ISTEXT(H28),R28=0),"",IF(R28&lt;0.1,1,IF(R28&lt;1,2,IF(R28&lt;10,3,IF(R28&lt;50,4,IF(R28&gt;=50,5,""))))))</f>
        <v>1</v>
      </c>
      <c r="T28" s="485" t="n">
        <f aca="false">IF(ISERROR(S28*J28),0,S28*J28)</f>
        <v>6</v>
      </c>
      <c r="U28" s="485" t="n">
        <f aca="false">IF(ISERROR(S28*J28*K28),0,S28*J28*K28)</f>
        <v>12</v>
      </c>
      <c r="V28" s="501" t="n">
        <f aca="false">IF(ISERROR(S28*K28),0,S28*K28)</f>
        <v>2</v>
      </c>
      <c r="W28" s="502"/>
      <c r="X28" s="503"/>
      <c r="Y28" s="488" t="str">
        <f aca="false">IF(AND(ISNUMBER(F28),OR(A28="",A28="!!!!!!")),"!!!!!!",IF(A28="new.cod","NEWCOD",IF(AND((Z28=""),ISTEXT(A28),A28&lt;&gt;"!!!!!!"),A28,IF(Z28="","",INDEX('liste reference'!$A$6:$A$1174,Z28)))))</f>
        <v>OEDSPX</v>
      </c>
      <c r="Z28" s="470" t="n">
        <f aca="false">IF(ISERROR(MATCH(A28,'liste reference'!$A$6:$A$1174,0)),IF(ISERROR(MATCH(A28,'liste reference'!$B$6:$B$1174,0)),"",(MATCH(A28,'liste reference'!$B$6:$B$1174,0))),(MATCH(A28,'liste reference'!$A$6:$A$1174,0)))</f>
        <v>85</v>
      </c>
    </row>
    <row r="29" customFormat="false" ht="12.75" hidden="false" customHeight="false" outlineLevel="0" collapsed="false">
      <c r="A29" s="489" t="s">
        <v>309</v>
      </c>
      <c r="B29" s="490" t="n">
        <v>0.01</v>
      </c>
      <c r="C29" s="491"/>
      <c r="D29" s="492" t="str">
        <f aca="false">IF(ISERROR(VLOOKUP($A29,'liste reference'!$A$6:$B$1174,2,0)),IF(ISERROR(VLOOKUP($A29,'liste reference'!$B$6:$B$1174,1,0)),"",VLOOKUP($A29,'liste reference'!$B$6:$B$1174,1,0)),VLOOKUP($A29,'liste reference'!$A$6:$B$1174,2,0))</f>
        <v>Phormidium sp.</v>
      </c>
      <c r="E29" s="493" t="e">
        <f aca="false">IF(D29="",0,VLOOKUP(D29,D$22:D28,1,0))</f>
        <v>#N/A</v>
      </c>
      <c r="F29" s="494" t="n">
        <f aca="false">IF(AND(OR(A29="",A29="!!!!!!"),B29="",C29=""),"",IF(OR(AND(B29="",C29=""),ISERROR(C29+B29)),"!!!",($B29*$B$7+$C29*$C$7)/100))</f>
        <v>0.01</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Phormidium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6414</v>
      </c>
      <c r="R29" s="484" t="n">
        <f aca="false">IF(ISTEXT(H29),"",(B29*$B$7/100)+(C29*$C$7/100))</f>
        <v>0.01</v>
      </c>
      <c r="S29" s="485" t="n">
        <f aca="false">IF(OR(ISTEXT(H29),R29=0),"",IF(R29&lt;0.1,1,IF(R29&lt;1,2,IF(R29&lt;10,3,IF(R29&lt;50,4,IF(R29&gt;=50,5,""))))))</f>
        <v>1</v>
      </c>
      <c r="T29" s="485" t="n">
        <f aca="false">IF(ISERROR(S29*J29),0,S29*J29)</f>
        <v>13</v>
      </c>
      <c r="U29" s="485" t="n">
        <f aca="false">IF(ISERROR(S29*J29*K29),0,S29*J29*K29)</f>
        <v>26</v>
      </c>
      <c r="V29" s="501" t="n">
        <f aca="false">IF(ISERROR(S29*K29),0,S29*K29)</f>
        <v>2</v>
      </c>
      <c r="W29" s="502"/>
      <c r="X29" s="503"/>
      <c r="Y29" s="488" t="str">
        <f aca="false">IF(AND(ISNUMBER(F29),OR(A29="",A29="!!!!!!")),"!!!!!!",IF(A29="new.cod","NEWCOD",IF(AND((Z29=""),ISTEXT(A29),A29&lt;&gt;"!!!!!!"),A29,IF(Z29="","",INDEX('liste reference'!$A$6:$A$1174,Z29)))))</f>
        <v>PHOSPX</v>
      </c>
      <c r="Z29" s="470" t="n">
        <f aca="false">IF(ISERROR(MATCH(A29,'liste reference'!$A$6:$A$1174,0)),IF(ISERROR(MATCH(A29,'liste reference'!$B$6:$B$1174,0)),"",(MATCH(A29,'liste reference'!$B$6:$B$1174,0))),(MATCH(A29,'liste reference'!$A$6:$A$1174,0)))</f>
        <v>88</v>
      </c>
    </row>
    <row r="30" customFormat="false" ht="12.75" hidden="false" customHeight="false" outlineLevel="0" collapsed="false">
      <c r="A30" s="489" t="s">
        <v>343</v>
      </c>
      <c r="B30" s="490" t="n">
        <v>0.01</v>
      </c>
      <c r="C30" s="491"/>
      <c r="D30" s="492" t="str">
        <f aca="false">IF(ISERROR(VLOOKUP($A30,'liste reference'!$A$6:$B$1174,2,0)),IF(ISERROR(VLOOKUP($A30,'liste reference'!$B$6:$B$1174,1,0)),"",VLOOKUP($A30,'liste reference'!$B$6:$B$1174,1,0)),VLOOKUP($A30,'liste reference'!$A$6:$B$1174,2,0))</f>
        <v>Spirogyra sp.</v>
      </c>
      <c r="E30" s="493" t="e">
        <f aca="false">IF(D30="",0,VLOOKUP(D30,D$22:D29,1,0))</f>
        <v>#N/A</v>
      </c>
      <c r="F30" s="494" t="n">
        <f aca="false">IF(AND(OR(A30="",A30="!!!!!!"),B30="",C30=""),"",IF(OR(AND(B30="",C30=""),ISERROR(C30+B30)),"!!!",($B30*$B$7+$C30*$C$7)/100))</f>
        <v>0.01</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Spirogyra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1147</v>
      </c>
      <c r="R30" s="484" t="n">
        <f aca="false">IF(ISTEXT(H30),"",(B30*$B$7/100)+(C30*$C$7/100))</f>
        <v>0.01</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SPISPX</v>
      </c>
      <c r="Z30" s="470" t="n">
        <f aca="false">IF(ISERROR(MATCH(A30,'liste reference'!$A$6:$A$1174,0)),IF(ISERROR(MATCH(A30,'liste reference'!$B$6:$B$1174,0)),"",(MATCH(A30,'liste reference'!$B$6:$B$1174,0))),(MATCH(A30,'liste reference'!$A$6:$A$1174,0)))</f>
        <v>102</v>
      </c>
    </row>
    <row r="31" customFormat="false" ht="12.75" hidden="false" customHeight="false" outlineLevel="0" collapsed="false">
      <c r="A31" s="489" t="s">
        <v>387</v>
      </c>
      <c r="B31" s="490" t="n">
        <v>0.15</v>
      </c>
      <c r="C31" s="491"/>
      <c r="D31" s="492" t="str">
        <f aca="false">IF(ISERROR(VLOOKUP($A31,'liste reference'!$A$6:$B$1174,2,0)),IF(ISERROR(VLOOKUP($A31,'liste reference'!$B$6:$B$1174,1,0)),"",VLOOKUP($A31,'liste reference'!$B$6:$B$1174,1,0)),VLOOKUP($A31,'liste reference'!$A$6:$B$1174,2,0))</f>
        <v>Ulva sp.</v>
      </c>
      <c r="E31" s="493" t="e">
        <f aca="false">IF(D31="",0,VLOOKUP(D31,D$22:D30,1,0))</f>
        <v>#N/A</v>
      </c>
      <c r="F31" s="494" t="n">
        <f aca="false">IF(AND(OR(A31="",A31="!!!!!!"),B31="",C31=""),"",IF(OR(AND(B31="",C31=""),ISERROR(C31+B31)),"!!!",($B31*$B$7+$C31*$C$7)/100))</f>
        <v>0.15</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3</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Ulva sp.</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19725</v>
      </c>
      <c r="R31" s="484" t="n">
        <f aca="false">IF(ISTEXT(H31),"",(B31*$B$7/100)+(C31*$C$7/100))</f>
        <v>0.15</v>
      </c>
      <c r="S31" s="485" t="n">
        <f aca="false">IF(OR(ISTEXT(H31),R31=0),"",IF(R31&lt;0.1,1,IF(R31&lt;1,2,IF(R31&lt;10,3,IF(R31&lt;50,4,IF(R31&gt;=50,5,""))))))</f>
        <v>2</v>
      </c>
      <c r="T31" s="485" t="n">
        <f aca="false">IF(ISERROR(S31*J31),0,S31*J31)</f>
        <v>6</v>
      </c>
      <c r="U31" s="485" t="n">
        <f aca="false">IF(ISERROR(S31*J31*K31),0,S31*J31*K31)</f>
        <v>12</v>
      </c>
      <c r="V31" s="501" t="n">
        <f aca="false">IF(ISERROR(S31*K31),0,S31*K31)</f>
        <v>4</v>
      </c>
      <c r="W31" s="502"/>
      <c r="X31" s="503"/>
      <c r="Y31" s="488" t="str">
        <f aca="false">IF(AND(ISNUMBER(F31),OR(A31="",A31="!!!!!!")),"!!!!!!",IF(A31="new.cod","NEWCOD",IF(AND((Z31=""),ISTEXT(A31),A31&lt;&gt;"!!!!!!"),A31,IF(Z31="","",INDEX('liste reference'!$A$6:$A$1174,Z31)))))</f>
        <v>ULVSPX</v>
      </c>
      <c r="Z31" s="470" t="n">
        <f aca="false">IF(ISERROR(MATCH(A31,'liste reference'!$A$6:$A$1174,0)),IF(ISERROR(MATCH(A31,'liste reference'!$B$6:$B$1174,0)),"",(MATCH(A31,'liste reference'!$B$6:$B$1174,0))),(MATCH(A31,'liste reference'!$A$6:$A$1174,0)))</f>
        <v>117</v>
      </c>
    </row>
    <row r="32" customFormat="false" ht="12.75" hidden="false" customHeight="false" outlineLevel="0" collapsed="false">
      <c r="A32" s="489" t="s">
        <v>395</v>
      </c>
      <c r="B32" s="490" t="n">
        <v>0.01</v>
      </c>
      <c r="C32" s="491"/>
      <c r="D32" s="492" t="str">
        <f aca="false">IF(ISERROR(VLOOKUP($A32,'liste reference'!$A$6:$B$1174,2,0)),IF(ISERROR(VLOOKUP($A32,'liste reference'!$B$6:$B$1174,1,0)),"",VLOOKUP($A32,'liste reference'!$B$6:$B$1174,1,0)),VLOOKUP($A32,'liste reference'!$A$6:$B$1174,2,0))</f>
        <v>Vaucheria sp.</v>
      </c>
      <c r="E32" s="493" t="e">
        <f aca="false">IF(D32="",0,VLOOKUP(D32,D$22:D31,1,0))</f>
        <v>#N/A</v>
      </c>
      <c r="F32" s="494" t="n">
        <f aca="false">IF(AND(OR(A32="",A32="!!!!!!"),B32="",C32=""),"",IF(OR(AND(B32="",C32=""),ISERROR(C32+B32)),"!!!",($B32*$B$7+$C32*$C$7)/100))</f>
        <v>0.01</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4</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Vaucheria sp.</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1169</v>
      </c>
      <c r="R32" s="484" t="n">
        <f aca="false">IF(ISTEXT(H32),"",(B32*$B$7/100)+(C32*$C$7/100))</f>
        <v>0.01</v>
      </c>
      <c r="S32" s="485" t="n">
        <f aca="false">IF(OR(ISTEXT(H32),R32=0),"",IF(R32&lt;0.1,1,IF(R32&lt;1,2,IF(R32&lt;10,3,IF(R32&lt;50,4,IF(R32&gt;=50,5,""))))))</f>
        <v>1</v>
      </c>
      <c r="T32" s="485" t="n">
        <f aca="false">IF(ISERROR(S32*J32),0,S32*J32)</f>
        <v>4</v>
      </c>
      <c r="U32" s="485" t="n">
        <f aca="false">IF(ISERROR(S32*J32*K32),0,S32*J32*K32)</f>
        <v>4</v>
      </c>
      <c r="V32" s="501" t="n">
        <f aca="false">IF(ISERROR(S32*K32),0,S32*K32)</f>
        <v>1</v>
      </c>
      <c r="W32" s="502"/>
      <c r="X32" s="503"/>
      <c r="Y32" s="488" t="str">
        <f aca="false">IF(AND(ISNUMBER(F32),OR(A32="",A32="!!!!!!")),"!!!!!!",IF(A32="new.cod","NEWCOD",IF(AND((Z32=""),ISTEXT(A32),A32&lt;&gt;"!!!!!!"),A32,IF(Z32="","",INDEX('liste reference'!$A$6:$A$1174,Z32)))))</f>
        <v>VAUSPX</v>
      </c>
      <c r="Z32" s="470" t="n">
        <f aca="false">IF(ISERROR(MATCH(A32,'liste reference'!$A$6:$A$1174,0)),IF(ISERROR(MATCH(A32,'liste reference'!$B$6:$B$1174,0)),"",(MATCH(A32,'liste reference'!$B$6:$B$1174,0))),(MATCH(A32,'liste reference'!$A$6:$A$1174,0)))</f>
        <v>118</v>
      </c>
    </row>
    <row r="33" customFormat="false" ht="12.75" hidden="false" customHeight="false" outlineLevel="0" collapsed="false">
      <c r="A33" s="489" t="s">
        <v>557</v>
      </c>
      <c r="B33" s="490" t="n">
        <v>0.05</v>
      </c>
      <c r="C33" s="491"/>
      <c r="D33" s="492" t="str">
        <f aca="false">IF(ISERROR(VLOOKUP($A33,'liste reference'!$A$6:$B$1174,2,0)),IF(ISERROR(VLOOKUP($A33,'liste reference'!$B$6:$B$1174,1,0)),"",VLOOKUP($A33,'liste reference'!$B$6:$B$1174,1,0)),VLOOKUP($A33,'liste reference'!$A$6:$B$1174,2,0))</f>
        <v>Pellia sp.</v>
      </c>
      <c r="E33" s="493" t="e">
        <f aca="false">IF(D33="",0,VLOOKUP(D33,D$22:D32,1,0))</f>
        <v>#N/A</v>
      </c>
      <c r="F33" s="494" t="n">
        <f aca="false">IF(AND(OR(A33="",A33="!!!!!!"),B33="",C33=""),"",IF(OR(AND(B33="",C33=""),ISERROR(C33+B33)),"!!!",($B33*$B$7+$C33*$C$7)/100))</f>
        <v>0.05</v>
      </c>
      <c r="G33" s="495" t="str">
        <f aca="false">IF(A33="","",IF(ISERROR(VLOOKUP($A33,'liste reference'!$A$6:$Q$1174,9,0)),IF(ISERROR(VLOOKUP($A33,'liste reference'!$B$6:$Q$1174,8,0)),"    -",VLOOKUP($A33,'liste reference'!$B$6:$Q$1174,8,0)),VLOOKUP($A33,'liste reference'!$A$6:$Q$1174,9,0)))</f>
        <v>BRh</v>
      </c>
      <c r="H33" s="496" t="n">
        <f aca="false">IF(A33="","x",IF(ISERROR(VLOOKUP($A33,'liste reference'!$A$6:$Q$1174,10,0)),IF(ISERROR(VLOOKUP($A33,'liste reference'!$B$6:$Q$1174,9,0)),"x",VLOOKUP($A33,'liste reference'!$B$6:$Q$1174,9,0)),VLOOKUP($A33,'liste reference'!$A$6:$Q$1174,10,0)))</f>
        <v>4</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Pellia sp.</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1196</v>
      </c>
      <c r="R33" s="484" t="n">
        <f aca="false">IF(ISTEXT(H33),"",(B33*$B$7/100)+(C33*$C$7/100))</f>
        <v>0.05</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PELSPX</v>
      </c>
      <c r="Z33" s="470" t="n">
        <f aca="false">IF(ISERROR(MATCH(A33,'liste reference'!$A$6:$A$1174,0)),IF(ISERROR(MATCH(A33,'liste reference'!$B$6:$B$1174,0)),"",(MATCH(A33,'liste reference'!$B$6:$B$1174,0))),(MATCH(A33,'liste reference'!$A$6:$A$1174,0)))</f>
        <v>170</v>
      </c>
    </row>
    <row r="34" customFormat="false" ht="12.75" hidden="false" customHeight="false" outlineLevel="0" collapsed="false">
      <c r="A34" s="489" t="s">
        <v>707</v>
      </c>
      <c r="B34" s="490" t="n">
        <v>0.01</v>
      </c>
      <c r="C34" s="491"/>
      <c r="D34" s="492" t="str">
        <f aca="false">IF(ISERROR(VLOOKUP($A34,'liste reference'!$A$6:$B$1174,2,0)),IF(ISERROR(VLOOKUP($A34,'liste reference'!$B$6:$B$1174,1,0)),"",VLOOKUP($A34,'liste reference'!$B$6:$B$1174,1,0)),VLOOKUP($A34,'liste reference'!$A$6:$B$1174,2,0))</f>
        <v>Cinclidotus danubicus</v>
      </c>
      <c r="E34" s="493" t="e">
        <f aca="false">IF(D34="",0,VLOOKUP(D34,D$22:D33,1,0))</f>
        <v>#N/A</v>
      </c>
      <c r="F34" s="494" t="n">
        <f aca="false">IF(AND(OR(A34="",A34="!!!!!!"),B34="",C34=""),"",IF(OR(AND(B34="",C34=""),ISERROR(C34+B34)),"!!!",($B34*$B$7+$C34*$C$7)/100))</f>
        <v>0.01</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13</v>
      </c>
      <c r="K34" s="497" t="n">
        <f aca="false">IF(ISNUMBER($H34),IF(ISERROR(VLOOKUP($A34,'liste reference'!$A$6:$Q$1174,7,0)),IF(ISERROR(VLOOKUP($A34,'liste reference'!$B$6:$Q$1174,6,0)),"nu",VLOOKUP($A34,'liste reference'!$B$6:$Q$1174,6,0)),VLOOKUP($A34,'liste reference'!$A$6:$Q$1174,7,0)),"nu")</f>
        <v>3</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Cinclidotus danubicus</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1319</v>
      </c>
      <c r="R34" s="484" t="n">
        <f aca="false">IF(ISTEXT(H34),"",(B34*$B$7/100)+(C34*$C$7/100))</f>
        <v>0.01</v>
      </c>
      <c r="S34" s="485" t="n">
        <f aca="false">IF(OR(ISTEXT(H34),R34=0),"",IF(R34&lt;0.1,1,IF(R34&lt;1,2,IF(R34&lt;10,3,IF(R34&lt;50,4,IF(R34&gt;=50,5,""))))))</f>
        <v>1</v>
      </c>
      <c r="T34" s="485" t="n">
        <f aca="false">IF(ISERROR(S34*J34),0,S34*J34)</f>
        <v>13</v>
      </c>
      <c r="U34" s="485" t="n">
        <f aca="false">IF(ISERROR(S34*J34*K34),0,S34*J34*K34)</f>
        <v>39</v>
      </c>
      <c r="V34" s="501" t="n">
        <f aca="false">IF(ISERROR(S34*K34),0,S34*K34)</f>
        <v>3</v>
      </c>
      <c r="W34" s="502"/>
      <c r="X34" s="503"/>
      <c r="Y34" s="488" t="str">
        <f aca="false">IF(AND(ISNUMBER(F34),OR(A34="",A34="!!!!!!")),"!!!!!!",IF(A34="new.cod","NEWCOD",IF(AND((Z34=""),ISTEXT(A34),A34&lt;&gt;"!!!!!!"),A34,IF(Z34="","",INDEX('liste reference'!$A$6:$A$1174,Z34)))))</f>
        <v>CINDAN</v>
      </c>
      <c r="Z34" s="470" t="n">
        <f aca="false">IF(ISERROR(MATCH(A34,'liste reference'!$A$6:$A$1174,0)),IF(ISERROR(MATCH(A34,'liste reference'!$B$6:$B$1174,0)),"",(MATCH(A34,'liste reference'!$B$6:$B$1174,0))),(MATCH(A34,'liste reference'!$A$6:$A$1174,0)))</f>
        <v>222</v>
      </c>
    </row>
    <row r="35" customFormat="false" ht="12.75" hidden="false" customHeight="false" outlineLevel="0" collapsed="false">
      <c r="A35" s="489" t="s">
        <v>723</v>
      </c>
      <c r="B35" s="490" t="n">
        <v>0.2</v>
      </c>
      <c r="C35" s="491"/>
      <c r="D35" s="492" t="str">
        <f aca="false">IF(ISERROR(VLOOKUP($A35,'liste reference'!$A$6:$B$1174,2,0)),IF(ISERROR(VLOOKUP($A35,'liste reference'!$B$6:$B$1174,1,0)),"",VLOOKUP($A35,'liste reference'!$B$6:$B$1174,1,0)),VLOOKUP($A35,'liste reference'!$A$6:$B$1174,2,0))</f>
        <v>Cratoneuron filicinum</v>
      </c>
      <c r="E35" s="493" t="e">
        <f aca="false">IF(D35="",0,VLOOKUP(D35,D$22:D34,1,0))</f>
        <v>#N/A</v>
      </c>
      <c r="F35" s="494" t="n">
        <f aca="false">IF(AND(OR(A35="",A35="!!!!!!"),B35="",C35=""),"",IF(OR(AND(B35="",C35=""),ISERROR(C35+B35)),"!!!",($B35*$B$7+$C35*$C$7)/100))</f>
        <v>0.2</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18</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Cratoneuron filicinum</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1233</v>
      </c>
      <c r="R35" s="484" t="n">
        <f aca="false">IF(ISTEXT(H35),"",(B35*$B$7/100)+(C35*$C$7/100))</f>
        <v>0.2</v>
      </c>
      <c r="S35" s="485" t="n">
        <f aca="false">IF(OR(ISTEXT(H35),R35=0),"",IF(R35&lt;0.1,1,IF(R35&lt;1,2,IF(R35&lt;10,3,IF(R35&lt;50,4,IF(R35&gt;=50,5,""))))))</f>
        <v>2</v>
      </c>
      <c r="T35" s="485" t="n">
        <f aca="false">IF(ISERROR(S35*J35),0,S35*J35)</f>
        <v>36</v>
      </c>
      <c r="U35" s="485" t="n">
        <f aca="false">IF(ISERROR(S35*J35*K35),0,S35*J35*K35)</f>
        <v>108</v>
      </c>
      <c r="V35" s="501" t="n">
        <f aca="false">IF(ISERROR(S35*K35),0,S35*K35)</f>
        <v>6</v>
      </c>
      <c r="W35" s="502"/>
      <c r="X35" s="503"/>
      <c r="Y35" s="488" t="str">
        <f aca="false">IF(AND(ISNUMBER(F35),OR(A35="",A35="!!!!!!")),"!!!!!!",IF(A35="new.cod","NEWCOD",IF(AND((Z35=""),ISTEXT(A35),A35&lt;&gt;"!!!!!!"),A35,IF(Z35="","",INDEX('liste reference'!$A$6:$A$1174,Z35)))))</f>
        <v>CRAFIL</v>
      </c>
      <c r="Z35" s="470" t="n">
        <f aca="false">IF(ISERROR(MATCH(A35,'liste reference'!$A$6:$A$1174,0)),IF(ISERROR(MATCH(A35,'liste reference'!$B$6:$B$1174,0)),"",(MATCH(A35,'liste reference'!$B$6:$B$1174,0))),(MATCH(A35,'liste reference'!$A$6:$A$1174,0)))</f>
        <v>227</v>
      </c>
    </row>
    <row r="36" customFormat="false" ht="12.75" hidden="false" customHeight="false" outlineLevel="0" collapsed="false">
      <c r="A36" s="489" t="s">
        <v>830</v>
      </c>
      <c r="B36" s="490" t="n">
        <v>0.02</v>
      </c>
      <c r="C36" s="491"/>
      <c r="D36" s="492" t="str">
        <f aca="false">IF(ISERROR(VLOOKUP($A36,'liste reference'!$A$6:$B$1174,2,0)),IF(ISERROR(VLOOKUP($A36,'liste reference'!$B$6:$B$1174,1,0)),"",VLOOKUP($A36,'liste reference'!$B$6:$B$1174,1,0)),VLOOKUP($A36,'liste reference'!$A$6:$B$1174,2,0))</f>
        <v>Fissidens crassipes</v>
      </c>
      <c r="E36" s="493" t="e">
        <f aca="false">IF(D36="",0,VLOOKUP(D36,D$22:D35,1,0))</f>
        <v>#N/A</v>
      </c>
      <c r="F36" s="494" t="n">
        <f aca="false">IF(AND(OR(A36="",A36="!!!!!!"),B36="",C36=""),"",IF(OR(AND(B36="",C36=""),ISERROR(C36+B36)),"!!!",($B36*$B$7+$C36*$C$7)/100))</f>
        <v>0.02</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Fissidens crassipes</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1294</v>
      </c>
      <c r="R36" s="484" t="n">
        <f aca="false">IF(ISTEXT(H36),"",(B36*$B$7/100)+(C36*$C$7/100))</f>
        <v>0.02</v>
      </c>
      <c r="S36" s="485" t="n">
        <f aca="false">IF(OR(ISTEXT(H36),R36=0),"",IF(R36&lt;0.1,1,IF(R36&lt;1,2,IF(R36&lt;10,3,IF(R36&lt;50,4,IF(R36&gt;=50,5,""))))))</f>
        <v>1</v>
      </c>
      <c r="T36" s="485" t="n">
        <f aca="false">IF(ISERROR(S36*J36),0,S36*J36)</f>
        <v>12</v>
      </c>
      <c r="U36" s="485" t="n">
        <f aca="false">IF(ISERROR(S36*J36*K36),0,S36*J36*K36)</f>
        <v>24</v>
      </c>
      <c r="V36" s="501" t="n">
        <f aca="false">IF(ISERROR(S36*K36),0,S36*K36)</f>
        <v>2</v>
      </c>
      <c r="W36" s="502"/>
      <c r="X36" s="503"/>
      <c r="Y36" s="488" t="str">
        <f aca="false">IF(AND(ISNUMBER(F36),OR(A36="",A36="!!!!!!")),"!!!!!!",IF(A36="new.cod","NEWCOD",IF(AND((Z36=""),ISTEXT(A36),A36&lt;&gt;"!!!!!!"),A36,IF(Z36="","",INDEX('liste reference'!$A$6:$A$1174,Z36)))))</f>
        <v>FISCRA</v>
      </c>
      <c r="Z36" s="470" t="n">
        <f aca="false">IF(ISERROR(MATCH(A36,'liste reference'!$A$6:$A$1174,0)),IF(ISERROR(MATCH(A36,'liste reference'!$B$6:$B$1174,0)),"",(MATCH(A36,'liste reference'!$B$6:$B$1174,0))),(MATCH(A36,'liste reference'!$A$6:$A$1174,0)))</f>
        <v>255</v>
      </c>
    </row>
    <row r="37" customFormat="false" ht="12.75" hidden="false" customHeight="false" outlineLevel="0" collapsed="false">
      <c r="A37" s="489" t="s">
        <v>1657</v>
      </c>
      <c r="B37" s="490" t="n">
        <v>0.01</v>
      </c>
      <c r="C37" s="491"/>
      <c r="D37" s="492" t="str">
        <f aca="false">IF(ISERROR(VLOOKUP($A37,'liste reference'!$A$6:$B$1174,2,0)),IF(ISERROR(VLOOKUP($A37,'liste reference'!$B$6:$B$1174,1,0)),"",VLOOKUP($A37,'liste reference'!$B$6:$B$1174,1,0)),VLOOKUP($A37,'liste reference'!$A$6:$B$1174,2,0))</f>
        <v>Potamogeton crispus</v>
      </c>
      <c r="E37" s="493" t="e">
        <f aca="false">IF(D37="",0,VLOOKUP(D37,D$22:D36,1,0))</f>
        <v>#N/A</v>
      </c>
      <c r="F37" s="494" t="n">
        <f aca="false">IF(AND(OR(A37="",A37="!!!!!!"),B37="",C37=""),"",IF(OR(AND(B37="",C37=""),ISERROR(C37+B37)),"!!!",($B37*$B$7+$C37*$C$7)/100))</f>
        <v>0.01</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7</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Potamogeton crispus</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1645</v>
      </c>
      <c r="R37" s="484" t="n">
        <f aca="false">IF(ISTEXT(H37),"",(B37*$B$7/100)+(C37*$C$7/100))</f>
        <v>0.01</v>
      </c>
      <c r="S37" s="485" t="n">
        <f aca="false">IF(OR(ISTEXT(H37),R37=0),"",IF(R37&lt;0.1,1,IF(R37&lt;1,2,IF(R37&lt;10,3,IF(R37&lt;50,4,IF(R37&gt;=50,5,""))))))</f>
        <v>1</v>
      </c>
      <c r="T37" s="485" t="n">
        <f aca="false">IF(ISERROR(S37*J37),0,S37*J37)</f>
        <v>7</v>
      </c>
      <c r="U37" s="485" t="n">
        <f aca="false">IF(ISERROR(S37*J37*K37),0,S37*J37*K37)</f>
        <v>14</v>
      </c>
      <c r="V37" s="501" t="n">
        <f aca="false">IF(ISERROR(S37*K37),0,S37*K37)</f>
        <v>2</v>
      </c>
      <c r="W37" s="502"/>
      <c r="X37" s="503"/>
      <c r="Y37" s="488" t="str">
        <f aca="false">IF(AND(ISNUMBER(F37),OR(A37="",A37="!!!!!!")),"!!!!!!",IF(A37="new.cod","NEWCOD",IF(AND((Z37=""),ISTEXT(A37),A37&lt;&gt;"!!!!!!"),A37,IF(Z37="","",INDEX('liste reference'!$A$6:$A$1174,Z37)))))</f>
        <v>POTCRI</v>
      </c>
      <c r="Z37" s="470" t="n">
        <f aca="false">IF(ISERROR(MATCH(A37,'liste reference'!$A$6:$A$1174,0)),IF(ISERROR(MATCH(A37,'liste reference'!$B$6:$B$1174,0)),"",(MATCH(A37,'liste reference'!$B$6:$B$1174,0))),(MATCH(A37,'liste reference'!$A$6:$A$1174,0)))</f>
        <v>522</v>
      </c>
    </row>
    <row r="38" customFormat="false" ht="12.75" hidden="false" customHeight="false" outlineLevel="0" collapsed="false">
      <c r="A38" s="489" t="s">
        <v>1689</v>
      </c>
      <c r="B38" s="490" t="n">
        <v>0.2</v>
      </c>
      <c r="C38" s="491"/>
      <c r="D38" s="492" t="str">
        <f aca="false">IF(ISERROR(VLOOKUP($A38,'liste reference'!$A$6:$B$1174,2,0)),IF(ISERROR(VLOOKUP($A38,'liste reference'!$B$6:$B$1174,1,0)),"",VLOOKUP($A38,'liste reference'!$B$6:$B$1174,1,0)),VLOOKUP($A38,'liste reference'!$A$6:$B$1174,2,0))</f>
        <v>Potamogeton pectinatus</v>
      </c>
      <c r="E38" s="493" t="e">
        <f aca="false">IF(D38="",0,VLOOKUP(D38,D$22:D37,1,0))</f>
        <v>#N/A</v>
      </c>
      <c r="F38" s="494" t="n">
        <f aca="false">IF(AND(OR(A38="",A38="!!!!!!"),B38="",C38=""),"",IF(OR(AND(B38="",C38=""),ISERROR(C38+B38)),"!!!",($B38*$B$7+$C38*$C$7)/100))</f>
        <v>0.2</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2</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Potamogeton pectinatus</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1655</v>
      </c>
      <c r="R38" s="484" t="n">
        <f aca="false">IF(ISTEXT(H38),"",(B38*$B$7/100)+(C38*$C$7/100))</f>
        <v>0.2</v>
      </c>
      <c r="S38" s="485" t="n">
        <f aca="false">IF(OR(ISTEXT(H38),R38=0),"",IF(R38&lt;0.1,1,IF(R38&lt;1,2,IF(R38&lt;10,3,IF(R38&lt;50,4,IF(R38&gt;=50,5,""))))))</f>
        <v>2</v>
      </c>
      <c r="T38" s="485" t="n">
        <f aca="false">IF(ISERROR(S38*J38),0,S38*J38)</f>
        <v>4</v>
      </c>
      <c r="U38" s="485" t="n">
        <f aca="false">IF(ISERROR(S38*J38*K38),0,S38*J38*K38)</f>
        <v>8</v>
      </c>
      <c r="V38" s="501" t="n">
        <f aca="false">IF(ISERROR(S38*K38),0,S38*K38)</f>
        <v>4</v>
      </c>
      <c r="W38" s="502"/>
      <c r="X38" s="503"/>
      <c r="Y38" s="488" t="str">
        <f aca="false">IF(AND(ISNUMBER(F38),OR(A38="",A38="!!!!!!")),"!!!!!!",IF(A38="new.cod","NEWCOD",IF(AND((Z38=""),ISTEXT(A38),A38&lt;&gt;"!!!!!!"),A38,IF(Z38="","",INDEX('liste reference'!$A$6:$A$1174,Z38)))))</f>
        <v>POTPEC</v>
      </c>
      <c r="Z38" s="470" t="n">
        <f aca="false">IF(ISERROR(MATCH(A38,'liste reference'!$A$6:$A$1174,0)),IF(ISERROR(MATCH(A38,'liste reference'!$B$6:$B$1174,0)),"",(MATCH(A38,'liste reference'!$B$6:$B$1174,0))),(MATCH(A38,'liste reference'!$A$6:$A$1174,0)))</f>
        <v>532</v>
      </c>
    </row>
    <row r="39" customFormat="false" ht="12.75" hidden="false" customHeight="false" outlineLevel="0" collapsed="false">
      <c r="A39" s="489" t="s">
        <v>1918</v>
      </c>
      <c r="B39" s="490" t="n">
        <v>0.01</v>
      </c>
      <c r="C39" s="491"/>
      <c r="D39" s="492" t="str">
        <f aca="false">IF(ISERROR(VLOOKUP($A39,'liste reference'!$A$6:$B$1174,2,0)),IF(ISERROR(VLOOKUP($A39,'liste reference'!$B$6:$B$1174,1,0)),"",VLOOKUP($A39,'liste reference'!$B$6:$B$1174,1,0)),VLOOKUP($A39,'liste reference'!$A$6:$B$1174,2,0))</f>
        <v>Zannichellia palustris</v>
      </c>
      <c r="E39" s="493" t="e">
        <f aca="false">IF(D39="",0,VLOOKUP(D39,D$22:D38,1,0))</f>
        <v>#N/A</v>
      </c>
      <c r="F39" s="494" t="n">
        <f aca="false">IF(AND(OR(A39="",A39="!!!!!!"),B39="",C39=""),"",IF(OR(AND(B39="",C39=""),ISERROR(C39+B39)),"!!!",($B39*$B$7+$C39*$C$7)/100))</f>
        <v>0.01</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5</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Zannichellia palustris</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1681</v>
      </c>
      <c r="R39" s="484" t="n">
        <f aca="false">IF(ISTEXT(H39),"",(B39*$B$7/100)+(C39*$C$7/100))</f>
        <v>0.01</v>
      </c>
      <c r="S39" s="485" t="n">
        <f aca="false">IF(OR(ISTEXT(H39),R39=0),"",IF(R39&lt;0.1,1,IF(R39&lt;1,2,IF(R39&lt;10,3,IF(R39&lt;50,4,IF(R39&gt;=50,5,""))))))</f>
        <v>1</v>
      </c>
      <c r="T39" s="485" t="n">
        <f aca="false">IF(ISERROR(S39*J39),0,S39*J39)</f>
        <v>5</v>
      </c>
      <c r="U39" s="485" t="n">
        <f aca="false">IF(ISERROR(S39*J39*K39),0,S39*J39*K39)</f>
        <v>5</v>
      </c>
      <c r="V39" s="501" t="n">
        <f aca="false">IF(ISERROR(S39*K39),0,S39*K39)</f>
        <v>1</v>
      </c>
      <c r="W39" s="502"/>
      <c r="X39" s="503"/>
      <c r="Y39" s="488" t="str">
        <f aca="false">IF(AND(ISNUMBER(F39),OR(A39="",A39="!!!!!!")),"!!!!!!",IF(A39="new.cod","NEWCOD",IF(AND((Z39=""),ISTEXT(A39),A39&lt;&gt;"!!!!!!"),A39,IF(Z39="","",INDEX('liste reference'!$A$6:$A$1174,Z39)))))</f>
        <v>ZANPAL</v>
      </c>
      <c r="Z39" s="470" t="n">
        <f aca="false">IF(ISERROR(MATCH(A39,'liste reference'!$A$6:$A$1174,0)),IF(ISERROR(MATCH(A39,'liste reference'!$B$6:$B$1174,0)),"",(MATCH(A39,'liste reference'!$B$6:$B$1174,0))),(MATCH(A39,'liste reference'!$A$6:$A$1174,0)))</f>
        <v>617</v>
      </c>
    </row>
    <row r="40" customFormat="false" ht="12.75" hidden="false" customHeight="false" outlineLevel="0" collapsed="false">
      <c r="A40" s="489" t="s">
        <v>2174</v>
      </c>
      <c r="B40" s="490" t="n">
        <v>0.01</v>
      </c>
      <c r="C40" s="491"/>
      <c r="D40" s="492" t="str">
        <f aca="false">IF(ISERROR(VLOOKUP($A40,'liste reference'!$A$6:$B$1174,2,0)),IF(ISERROR(VLOOKUP($A40,'liste reference'!$B$6:$B$1174,1,0)),"",VLOOKUP($A40,'liste reference'!$B$6:$B$1174,1,0)),VLOOKUP($A40,'liste reference'!$A$6:$B$1174,2,0))</f>
        <v>Phragmites australis</v>
      </c>
      <c r="E40" s="493" t="e">
        <f aca="false">IF(D40="",0,VLOOKUP(D40,D$22:D39,1,0))</f>
        <v>#N/A</v>
      </c>
      <c r="F40" s="494" t="n">
        <f aca="false">IF(AND(OR(A40="",A40="!!!!!!"),B40="",C40=""),"",IF(OR(AND(B40="",C40=""),ISERROR(C40+B40)),"!!!",($B40*$B$7+$C40*$C$7)/100))</f>
        <v>0.01</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9</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Phragmites australis</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1579</v>
      </c>
      <c r="R40" s="484" t="n">
        <f aca="false">IF(ISTEXT(H40),"",(B40*$B$7/100)+(C40*$C$7/100))</f>
        <v>0.01</v>
      </c>
      <c r="S40" s="485" t="n">
        <f aca="false">IF(OR(ISTEXT(H40),R40=0),"",IF(R40&lt;0.1,1,IF(R40&lt;1,2,IF(R40&lt;10,3,IF(R40&lt;50,4,IF(R40&gt;=50,5,""))))))</f>
        <v>1</v>
      </c>
      <c r="T40" s="485" t="n">
        <f aca="false">IF(ISERROR(S40*J40),0,S40*J40)</f>
        <v>9</v>
      </c>
      <c r="U40" s="485" t="n">
        <f aca="false">IF(ISERROR(S40*J40*K40),0,S40*J40*K40)</f>
        <v>18</v>
      </c>
      <c r="V40" s="501" t="n">
        <f aca="false">IF(ISERROR(S40*K40),0,S40*K40)</f>
        <v>2</v>
      </c>
      <c r="W40" s="502"/>
      <c r="X40" s="503"/>
      <c r="Y40" s="488" t="str">
        <f aca="false">IF(AND(ISNUMBER(F40),OR(A40="",A40="!!!!!!")),"!!!!!!",IF(A40="new.cod","NEWCOD",IF(AND((Z40=""),ISTEXT(A40),A40&lt;&gt;"!!!!!!"),A40,IF(Z40="","",INDEX('liste reference'!$A$6:$A$1174,Z40)))))</f>
        <v>PHRAUS</v>
      </c>
      <c r="Z40" s="470" t="n">
        <f aca="false">IF(ISERROR(MATCH(A40,'liste reference'!$A$6:$A$1174,0)),IF(ISERROR(MATCH(A40,'liste reference'!$B$6:$B$1174,0)),"",(MATCH(A40,'liste reference'!$B$6:$B$1174,0))),(MATCH(A40,'liste reference'!$A$6:$A$1174,0)))</f>
        <v>709</v>
      </c>
    </row>
    <row r="41" customFormat="false" ht="12.75" hidden="false" customHeight="false" outlineLevel="0" collapsed="false">
      <c r="A41" s="489" t="s">
        <v>2210</v>
      </c>
      <c r="B41" s="490" t="n">
        <v>0.01</v>
      </c>
      <c r="C41" s="491"/>
      <c r="D41" s="492" t="str">
        <f aca="false">IF(ISERROR(VLOOKUP($A41,'liste reference'!$A$6:$B$1174,2,0)),IF(ISERROR(VLOOKUP($A41,'liste reference'!$B$6:$B$1174,1,0)),"",VLOOKUP($A41,'liste reference'!$B$6:$B$1174,1,0)),VLOOKUP($A41,'liste reference'!$A$6:$B$1174,2,0))</f>
        <v>Schoenoplectus lacustris</v>
      </c>
      <c r="E41" s="493" t="e">
        <f aca="false">IF(D41="",0,VLOOKUP(D41,D$22:D40,1,0))</f>
        <v>#N/A</v>
      </c>
      <c r="F41" s="494" t="n">
        <f aca="false">IF(AND(OR(A41="",A41="!!!!!!"),B41="",C41=""),"",IF(OR(AND(B41="",C41=""),ISERROR(C41+B41)),"!!!",($B41*$B$7+$C41*$C$7)/100))</f>
        <v>0.01</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8</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Schoenoplectus lacustris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31026</v>
      </c>
      <c r="R41" s="484" t="n">
        <f aca="false">IF(ISTEXT(H41),"",(B41*$B$7/100)+(C41*$C$7/100))</f>
        <v>0.01</v>
      </c>
      <c r="S41" s="485" t="n">
        <f aca="false">IF(OR(ISTEXT(H41),R41=0),"",IF(R41&lt;0.1,1,IF(R41&lt;1,2,IF(R41&lt;10,3,IF(R41&lt;50,4,IF(R41&gt;=50,5,""))))))</f>
        <v>1</v>
      </c>
      <c r="T41" s="485" t="n">
        <f aca="false">IF(ISERROR(S41*J41),0,S41*J41)</f>
        <v>8</v>
      </c>
      <c r="U41" s="485" t="n">
        <f aca="false">IF(ISERROR(S41*J41*K41),0,S41*J41*K41)</f>
        <v>16</v>
      </c>
      <c r="V41" s="501" t="n">
        <f aca="false">IF(ISERROR(S41*K41),0,S41*K41)</f>
        <v>2</v>
      </c>
      <c r="W41" s="502"/>
      <c r="X41" s="503"/>
      <c r="Y41" s="488" t="str">
        <f aca="false">IF(AND(ISNUMBER(F41),OR(A41="",A41="!!!!!!")),"!!!!!!",IF(A41="new.cod","NEWCOD",IF(AND((Z41=""),ISTEXT(A41),A41&lt;&gt;"!!!!!!"),A41,IF(Z41="","",INDEX('liste reference'!$A$6:$A$1174,Z41)))))</f>
        <v>SCNLAC</v>
      </c>
      <c r="Z41" s="470" t="n">
        <f aca="false">IF(ISERROR(MATCH(A41,'liste reference'!$A$6:$A$1174,0)),IF(ISERROR(MATCH(A41,'liste reference'!$B$6:$B$1174,0)),"",(MATCH(A41,'liste reference'!$B$6:$B$1174,0))),(MATCH(A41,'liste reference'!$A$6:$A$1174,0)))</f>
        <v>722</v>
      </c>
    </row>
    <row r="42" customFormat="false" ht="12.75" hidden="false" customHeight="false" outlineLevel="0" collapsed="false">
      <c r="A42" s="489" t="s">
        <v>2699</v>
      </c>
      <c r="B42" s="490" t="n">
        <v>0.01</v>
      </c>
      <c r="C42" s="491"/>
      <c r="D42" s="492" t="str">
        <f aca="false">IF(ISERROR(VLOOKUP($A42,'liste reference'!$A$6:$B$1174,2,0)),IF(ISERROR(VLOOKUP($A42,'liste reference'!$B$6:$B$1174,1,0)),"",VLOOKUP($A42,'liste reference'!$B$6:$B$1174,1,0)),VLOOKUP($A42,'liste reference'!$A$6:$B$1174,2,0))</f>
        <v>Lythrum salicaria</v>
      </c>
      <c r="E42" s="493" t="e">
        <f aca="false">IF(D42="",0,VLOOKUP(D42,D$22:D41,1,0))</f>
        <v>#N/A</v>
      </c>
      <c r="F42" s="494" t="n">
        <f aca="false">IF(AND(OR(A42="",A42="!!!!!!"),B42="",C42=""),"",IF(OR(AND(B42="",C42=""),ISERROR(C42+B42)),"!!!",($B42*$B$7+$C42*$C$7)/100))</f>
        <v>0.01</v>
      </c>
      <c r="G42" s="495" t="str">
        <f aca="false">IF(A42="","",IF(ISERROR(VLOOKUP($A42,'liste reference'!$A$6:$Q$1174,9,0)),IF(ISERROR(VLOOKUP($A42,'liste reference'!$B$6:$Q$1174,8,0)),"    -",VLOOKUP($A42,'liste reference'!$B$6:$Q$1174,8,0)),VLOOKUP($A42,'liste reference'!$A$6:$Q$1174,9,0)))</f>
        <v>PHg</v>
      </c>
      <c r="H42" s="496" t="n">
        <f aca="false">IF(A42="","x",IF(ISERROR(VLOOKUP($A42,'liste reference'!$A$6:$Q$1174,10,0)),IF(ISERROR(VLOOKUP($A42,'liste reference'!$B$6:$Q$1174,9,0)),"x",VLOOKUP($A42,'liste reference'!$B$6:$Q$1174,9,0)),VLOOKUP($A42,'liste reference'!$A$6:$Q$1174,10,0)))</f>
        <v>9</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Lythrum salicaria</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1823</v>
      </c>
      <c r="R42" s="484" t="n">
        <f aca="false">IF(ISTEXT(H42),"",(B42*$B$7/100)+(C42*$C$7/100))</f>
        <v>0.01</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LYTSAL</v>
      </c>
      <c r="Z42" s="470" t="n">
        <f aca="false">IF(ISERROR(MATCH(A42,'liste reference'!$A$6:$A$1174,0)),IF(ISERROR(MATCH(A42,'liste reference'!$B$6:$B$1174,0)),"",(MATCH(A42,'liste reference'!$B$6:$B$1174,0))),(MATCH(A42,'liste reference'!$A$6:$A$1174,0)))</f>
        <v>902</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1.77</v>
      </c>
      <c r="G83" s="424"/>
      <c r="H83" s="424"/>
      <c r="I83" s="424"/>
      <c r="J83" s="424"/>
      <c r="K83" s="424"/>
      <c r="L83" s="424"/>
      <c r="M83" s="485"/>
      <c r="N83" s="485"/>
      <c r="O83" s="485"/>
      <c r="P83" s="485"/>
      <c r="Q83" s="485"/>
      <c r="R83" s="485"/>
      <c r="S83" s="485"/>
      <c r="T83" s="485"/>
      <c r="U83" s="485"/>
      <c r="V83" s="485" t="n">
        <f aca="false">SUM(V23:V82)</f>
        <v>40</v>
      </c>
      <c r="W83" s="485"/>
      <c r="X83" s="523"/>
      <c r="Y83" s="523"/>
      <c r="Z83" s="524"/>
    </row>
    <row r="84" customFormat="false" ht="12.75" hidden="true" customHeight="false" outlineLevel="0" collapsed="false">
      <c r="A84" s="518" t="str">
        <f aca="false">A3</f>
        <v>ARGENS</v>
      </c>
      <c r="B84" s="453" t="str">
        <f aca="false">C3</f>
        <v>ARGENS A LE-THORONET 4</v>
      </c>
      <c r="C84" s="525" t="str">
        <f aca="false">A4</f>
        <v>(Date)</v>
      </c>
      <c r="D84" s="526" t="n">
        <f aca="false">IF(OR(ISERROR(SUM($U$23:$U$82)/SUM($V$23:$V$82)),F7&lt;&gt;100),-1,SUM($U$23:$U$82)/SUM($V$23:$V$82))</f>
        <v>9.25</v>
      </c>
      <c r="E84" s="527" t="n">
        <f aca="false">O13</f>
        <v>20</v>
      </c>
      <c r="F84" s="453" t="n">
        <f aca="false">O14</f>
        <v>18</v>
      </c>
      <c r="G84" s="453" t="n">
        <f aca="false">O15</f>
        <v>7</v>
      </c>
      <c r="H84" s="453" t="n">
        <f aca="false">O16</f>
        <v>9</v>
      </c>
      <c r="I84" s="453" t="n">
        <f aca="false">O17</f>
        <v>2</v>
      </c>
      <c r="J84" s="528" t="n">
        <f aca="false">O8</f>
        <v>8.88888888888889</v>
      </c>
      <c r="K84" s="529" t="n">
        <f aca="false">O9</f>
        <v>4.06733449282736</v>
      </c>
      <c r="L84" s="530" t="n">
        <f aca="false">O10</f>
        <v>2</v>
      </c>
      <c r="M84" s="530" t="n">
        <f aca="false">O11</f>
        <v>18</v>
      </c>
      <c r="N84" s="529" t="n">
        <f aca="false">P8</f>
        <v>1.72222222222222</v>
      </c>
      <c r="O84" s="529" t="n">
        <f aca="false">P9</f>
        <v>0.65026110615109</v>
      </c>
      <c r="P84" s="530" t="n">
        <f aca="false">P10</f>
        <v>1</v>
      </c>
      <c r="Q84" s="530" t="n">
        <f aca="false">P11</f>
        <v>3</v>
      </c>
      <c r="R84" s="530" t="n">
        <f aca="false">F21</f>
        <v>1.77</v>
      </c>
      <c r="S84" s="530" t="n">
        <f aca="false">L11</f>
        <v>0</v>
      </c>
      <c r="T84" s="530" t="n">
        <f aca="false">L12</f>
        <v>10</v>
      </c>
      <c r="U84" s="530" t="n">
        <f aca="false">L13</f>
        <v>4</v>
      </c>
      <c r="V84" s="531" t="n">
        <f aca="false">L15</f>
        <v>6</v>
      </c>
      <c r="W84" s="532" t="n">
        <f aca="false">L15</f>
        <v>6</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36</v>
      </c>
      <c r="U87" s="281"/>
      <c r="V87" s="281"/>
    </row>
    <row r="88" customFormat="false" ht="12.75" hidden="true" customHeight="false" outlineLevel="0" collapsed="false">
      <c r="C88" s="534"/>
      <c r="D88" s="534"/>
      <c r="E88" s="534"/>
      <c r="R88" s="281" t="s">
        <v>3451</v>
      </c>
      <c r="S88" s="281"/>
      <c r="T88" s="536" t="n">
        <f aca="false">VLOOKUP($T$91,($A$23:$U$82),21,0)</f>
        <v>108</v>
      </c>
      <c r="U88" s="281"/>
      <c r="V88" s="281" t="n">
        <f aca="false">COUNTIF(V23:V82,T89)</f>
        <v>1</v>
      </c>
    </row>
    <row r="89" customFormat="false" ht="12.75" hidden="true" customHeight="false" outlineLevel="0" collapsed="false">
      <c r="C89" s="534"/>
      <c r="D89" s="534"/>
      <c r="E89" s="534"/>
      <c r="R89" s="281" t="s">
        <v>3452</v>
      </c>
      <c r="S89" s="281"/>
      <c r="T89" s="536" t="n">
        <f aca="false">MAX($V$23:$V$82)</f>
        <v>6</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7.70588235294118</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CRAFIL</v>
      </c>
      <c r="U91" s="281" t="n">
        <f aca="false">IF(ISERROR(MATCH($T$93,'liste reference'!$A$6:$A$1174,0)),MATCH($T$93,'liste reference'!$B$6:$B$1174,0),(MATCH($T$93,'liste reference'!$A$6:$A$1174,0)))</f>
        <v>227</v>
      </c>
      <c r="V91" s="538"/>
    </row>
    <row r="92" customFormat="false" ht="12.75" hidden="true" customHeight="false" outlineLevel="0" collapsed="false">
      <c r="C92" s="534"/>
      <c r="D92" s="534"/>
      <c r="E92" s="534"/>
      <c r="R92" s="281" t="s">
        <v>3455</v>
      </c>
      <c r="S92" s="281"/>
      <c r="T92" s="281" t="n">
        <f aca="false">MATCH(T89,$V$23:$V$82,0)</f>
        <v>13</v>
      </c>
      <c r="U92" s="281"/>
    </row>
    <row r="93" customFormat="false" ht="12.75" hidden="true" customHeight="false" outlineLevel="0" collapsed="false">
      <c r="C93" s="534"/>
      <c r="D93" s="534"/>
      <c r="E93" s="534"/>
      <c r="R93" s="485" t="s">
        <v>3456</v>
      </c>
      <c r="S93" s="281"/>
      <c r="T93" s="485" t="str">
        <f aca="false">INDEX($A$23:$A$82,$T$92)</f>
        <v>CRAFIL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 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3482</v>
      </c>
      <c r="G25" s="8"/>
      <c r="H25" s="575" t="s">
        <v>3482</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3486</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jlam</cp:lastModifiedBy>
  <cp:lastPrinted>2015-05-20T10:23:22Z</cp:lastPrinted>
  <dcterms:modified xsi:type="dcterms:W3CDTF">2018-03-16T15:40:33Z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