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uri à Luri"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6" name="_xlnm.Print_Area" vbProcedure="false">'Luri à Luri'!$A$1:$Q$82</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'Luri à Luri'!$A$1:$C$1415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<sst xmlns="http://schemas.openxmlformats.org/spreadsheetml/2006/main" count="9999" uniqueCount="3494">
  <si>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</si>
  <si>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</si>
  <si>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</si>
  <si>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</si>
  <si>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</si>
  <si>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</si>
  <si>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</si>
  <si>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</si>
  <si>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</si>
  <si>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</si>
  <si>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</si>
  <si>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</si>
  <si>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</si>
  <si>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</si>
  <si>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</si>
  <si>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</si>
  <si>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</si>
  <si>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</si>
  <si>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</si>
  <si>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</si>
  <si>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</si>
  <si>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</si>
  <si>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</si>
  <si>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</si>
  <si>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</si>
  <si>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</si>
  <si>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</si>
  <si>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</si>
  <si>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</si>
  <si>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</si>
  <si>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</si>
  <si>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</si>
  <si>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</si>
  <si>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</si>
  <si>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</si>
  <si>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</si>
  <si>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</si>
  <si>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</si>
  <si>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</si>
  <si>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</si>
  <si>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</si>
  <si>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</si>
  <si>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</si>
  <si>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</si>
  <si>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</si>
  <si>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</si>
  <si>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</si>
  <si>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</si>
  <si>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</si>
  <si>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</si>
  <si>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</si>
  <si>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</si>
  <si>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</si>
  <si>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</si>
  <si>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</si>
  <si>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</si>
  <si>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</si>
  <si>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</si>
  <si>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</si>
  <si>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</si>
  <si>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</si>
  <si>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</si>
  <si>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</si>
  <si>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</si>
  <si>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</si>
  <si>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</si>
  <si>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</si>
  <si>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</si>
  <si>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</si>
  <si>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</si>
  <si>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</si>
  <si>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</si>
  <si>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</si>
  <si>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</si>
  <si>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</si>
  <si>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</si>
  <si>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</si>
  <si>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</si>
  <si>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</si>
  <si>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</si>
  <si>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</si>
  <si>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</si>
  <si>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</si>
  <si>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</si>
  <si>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</si>
  <si>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</si>
  <si>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</si>
  <si>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</si>
  <si>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</si>
  <si>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</si>
  <si>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</si>
  <si>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</si>
  <si>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</si>
  <si>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</si>
  <si>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</si>
  <si>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</si>
  <si>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</si>
  <si>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</si>
  <si>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</si>
  <si>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</si>
  <si>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</si>
  <si>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</si>
  <si>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</si>
  <si>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</si>
  <si>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</si>
  <si>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</si>
  <si>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</si>
  <si>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</si>
  <si>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</si>
  <si>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</si>
  <si>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</si>
  <si>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</si>
  <si>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</si>
  <si>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</si>
  <si>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</si>
  <si>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</si>
  <si>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</si>
  <si>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</si>
  <si>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</si>
  <si>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</si>
  <si>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</si>
  <si>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</si>
  <si>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</si>
  <si>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</si>
  <si>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</si>
  <si>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</si>
  <si>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</si>
  <si>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</si>
  <si>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</si>
  <si>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</si>
  <si>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</si>
  <si>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</si>
  <si>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</si>
  <si>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</si>
  <si>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</si>
  <si>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</si>
  <si>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</si>
  <si>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</si>
  <si>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</si>
  <si>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</si>
  <si>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</si>
  <si>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</si>
  <si>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</si>
  <si>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</si>
  <si>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</si>
  <si>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</si>
  <si>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</si>
  <si>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</si>
  <si>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</si>
  <si>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</si>
  <si>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</si>
  <si>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</si>
  <si>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</si>
  <si>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</si>
  <si>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</si>
  <si>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</si>
  <si>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</si>
  <si>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</si>
  <si>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</si>
  <si>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</si>
  <si>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</si>
  <si>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</si>
  <si>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</si>
  <si>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</si>
  <si>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</si>
  <si>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</si>
  <si>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</si>
  <si>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</si>
  <si>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</si>
  <si>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</si>
  <si>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</si>
  <si>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</si>
  <si>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</si>
  <si>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</si>
  <si>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</si>
  <si>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</si>
  <si>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</si>
  <si>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</si>
  <si>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</si>
  <si>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</si>
  <si>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</si>
  <si>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</si>
  <si>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</si>
  <si>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</si>
  <si>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</si>
  <si>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</si>
  <si>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</si>
  <si>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</si>
  <si>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</si>
  <si>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</si>
  <si>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</si>
  <si>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</si>
  <si>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</si>
  <si>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</si>
  <si>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</si>
  <si>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</si>
  <si>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</si>
  <si>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</si>
  <si>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</si>
  <si>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</si>
  <si>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</si>
  <si>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</si>
  <si>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</si>
  <si>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</si>
  <si>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</si>
  <si>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</si>
  <si>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</si>
  <si>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</si>
  <si>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</si>
  <si>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</si>
  <si>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</si>
  <si>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</si>
  <si>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</si>
  <si>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</si>
  <si>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</si>
  <si>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</si>
  <si>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</si>
  <si>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</si>
  <si>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</si>
  <si>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</si>
  <si>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</si>
  <si>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</si>
  <si>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</si>
  <si>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</si>
  <si>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</si>
  <si>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</si>
  <si>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</si>
  <si>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</si>
  <si>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</si>
  <si>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</si>
  <si>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</si>
  <si>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</si>
  <si>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</si>
  <si>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</si>
  <si>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</si>
  <si>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</si>
  <si>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</si>
  <si>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</si>
  <si>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</si>
  <si>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</si>
  <si>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</si>
  <si>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</si>
  <si>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</si>
  <si>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</si>
  <si>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</si>
  <si>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</si>
  <si>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</si>
  <si>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</si>
  <si>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</si>
  <si>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</si>
  <si>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</si>
  <si>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</si>
  <si>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</si>
  <si>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</si>
  <si>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</si>
  <si>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</si>
  <si>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</si>
  <si>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</si>
  <si>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</si>
  <si>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</si>
  <si>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</si>
  <si>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</si>
  <si>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</si>
  <si>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</si>
  <si>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</si>
  <si>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</si>
  <si>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</si>
  <si>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</si>
  <si>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</si>
  <si>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</si>
  <si>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</si>
  <si>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</si>
  <si>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</si>
  <si>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</si>
  <si>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</si>
  <si>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</si>
  <si>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</si>
  <si>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</si>
  <si>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</si>
  <si>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</si>
  <si>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</si>
  <si>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</si>
  <si>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</si>
  <si>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</si>
  <si>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</si>
  <si>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</si>
  <si>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</si>
  <si>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</si>
  <si>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</si>
  <si>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</si>
  <si>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</si>
  <si>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</si>
  <si>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</si>
  <si>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</si>
  <si>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</si>
  <si>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</si>
  <si>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</si>
  <si>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</si>
  <si>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</si>
  <si>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</si>
  <si>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</si>
  <si>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</si>
  <si>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</si>
  <si>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</si>
  <si>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</si>
  <si>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</si>
  <si>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</si>
  <si>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</si>
  <si>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</si>
  <si>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</si>
  <si>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</si>
  <si>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</si>
  <si>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</si>
  <si>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</si>
  <si>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</si>
  <si>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</si>
  <si>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</si>
  <si>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</si>
  <si>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</si>
  <si>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</si>
  <si>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</si>
  <si>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</si>
  <si>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</si>
  <si>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</si>
  <si>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</si>
  <si>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</si>
  <si>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</si>
  <si>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</si>
  <si>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</si>
  <si>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</si>
  <si>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</si>
  <si>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</si>
  <si>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</si>
  <si>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</si>
  <si>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</si>
  <si>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</si>
  <si>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</si>
  <si>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</si>
  <si>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</si>
  <si>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</si>
  <si>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</si>
  <si>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</si>
  <si>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</si>
  <si>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</si>
  <si>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</si>
  <si>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</si>
  <si>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</si>
  <si>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</si>
  <si>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</si>
  <si>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</si>
  <si>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</si>
  <si>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</si>
  <si>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</si>
  <si>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</si>
  <si>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</si>
  <si>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</si>
  <si>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</si>
  <si>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</si>
  <si>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</si>
  <si>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</si>
  <si>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</si>
  <si>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</si>
  <si>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</si>
  <si>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</si>
  <si>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</si>
  <si>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</si>
  <si>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</si>
  <si>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</si>
  <si>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</si>
  <si>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</si>
  <si>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</si>
  <si>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</si>
  <si>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</si>
  <si>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</si>
  <si>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</si>
  <si>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</si>
  <si>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</si>
  <si>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</si>
  <si>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</si>
  <si>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</si>
  <si>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</si>
  <si>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</si>
  <si>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</si>
  <si>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</si>
  <si>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</si>
  <si>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</si>
  <si>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</si>
  <si>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</si>
  <si>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</si>
  <si>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</si>
  <si>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</si>
  <si>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</si>
  <si>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</si>
  <si>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</si>
  <si>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</si>
  <si>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</si>
  <si>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</si>
  <si>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</si>
  <si>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</si>
  <si>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</si>
  <si>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</si>
  <si>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</si>
  <si>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</si>
  <si>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</si>
  <si>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</si>
  <si>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</si>
  <si>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</si>
  <si>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</si>
  <si>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</si>
  <si>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</si>
  <si>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</si>
  <si>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</si>
  <si>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</si>
  <si>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</si>
  <si>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</si>
  <si>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</si>
  <si>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</si>
  <si>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</si>
  <si>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</si>
  <si>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</si>
  <si>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</si>
  <si>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</si>
  <si>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</si>
  <si>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</si>
  <si>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</si>
  <si>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</si>
  <si>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</si>
  <si>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</si>
  <si>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</si>
  <si>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</si>
  <si>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</si>
  <si>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</si>
  <si>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</si>
  <si>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</si>
  <si>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</si>
  <si>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</si>
  <si>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</si>
  <si>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</si>
  <si>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</si>
  <si>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</si>
  <si>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</si>
  <si>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</si>
  <si>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</si>
  <si>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</si>
  <si>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</si>
  <si>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</si>
  <si>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</si>
  <si>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</si>
  <si>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</si>
  <si>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</si>
  <si>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</si>
  <si>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</si>
  <si>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</si>
  <si>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</si>
  <si>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</si>
  <si>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</si>
  <si>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</si>
  <si>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</si>
  <si>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</si>
  <si>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</si>
  <si>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</si>
  <si>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</si>
  <si>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</si>
  <si>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</si>
  <si>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</si>
  <si>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</si>
  <si>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</si>
  <si>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</si>
  <si>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</si>
  <si>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</si>
  <si>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</si>
  <si>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</si>
  <si>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</si>
  <si>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</si>
  <si>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</si>
  <si>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</si>
  <si>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</si>
  <si>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</si>
  <si>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</si>
  <si>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</si>
  <si>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</si>
  <si>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</si>
  <si>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</si>
  <si>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</si>
  <si>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</si>
  <si>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</si>
  <si>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</si>
  <si>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</si>
  <si>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</si>
  <si>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</si>
  <si>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</si>
  <si>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</si>
  <si>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</si>
  <si>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</si>
  <si>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</si>
  <si>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</si>
  <si>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</si>
  <si>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</si>
  <si>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</si>
  <si>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</si>
  <si>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</si>
  <si>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</si>
  <si>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</si>
  <si>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</si>
  <si>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</si>
  <si>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</si>
  <si>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</si>
  <si>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</si>
  <si>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</si>
  <si>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</si>
  <si>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</si>
  <si>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</si>
  <si>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</si>
  <si>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</si>
  <si>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</si>
  <si>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</si>
  <si>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</si>
  <si>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</si>
  <si>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</si>
  <si>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</si>
  <si>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</si>
  <si>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</si>
  <si>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</si>
  <si>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</si>
  <si>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</si>
  <si>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</si>
  <si>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</si>
  <si>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</si>
  <si>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</si>
  <si>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</si>
  <si>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</si>
  <si>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</si>
  <si>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</si>
  <si>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</si>
  <si>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</si>
  <si>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</si>
  <si>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</si>
  <si>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</si>
  <si>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</si>
  <si>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</si>
  <si>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</si>
  <si>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</si>
  <si>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</si>
  <si>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</si>
  <si>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</si>
  <si>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</si>
  <si>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</si>
  <si>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</si>
  <si>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</si>
  <si>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</si>
  <si>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</si>
  <si>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</si>
  <si>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</si>
  <si>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</si>
  <si>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</si>
  <si>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</si>
  <si>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</si>
  <si>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</si>
  <si>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</si>
  <si>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</si>
  <si>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</si>
  <si>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</si>
  <si>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</si>
  <si>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</si>
  <si>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</si>
  <si>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</si>
  <si>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</si>
  <si>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</si>
  <si>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</si>
  <si>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</si>
  <si>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</si>
  <si>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</si>
  <si>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</si>
  <si>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</si>
  <si>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</si>
  <si>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</si>
  <si>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</si>
  <si>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</si>
  <si>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</si>
  <si>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</si>
  <si>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</si>
  <si>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</si>
  <si>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</si>
  <si>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</si>
  <si>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</si>
  <si>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</si>
  <si>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</si>
  <si>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</si>
  <si>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</si>
  <si>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</si>
  <si>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</si>
  <si>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</si>
  <si>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</si>
  <si>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</si>
  <si>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</si>
  <si>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</si>
  <si>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</si>
  <si>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</si>
  <si>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</si>
  <si>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</si>
  <si>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</si>
  <si>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</si>
  <si>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</si>
  <si>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</si>
  <si>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</si>
  <si>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</si>
  <si>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</si>
  <si>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</si>
  <si>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</si>
  <si>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</si>
  <si>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</si>
  <si>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</si>
  <si>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</si>
  <si>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</si>
  <si>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</si>
  <si>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</si>
  <si>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</si>
  <si>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</si>
  <si>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</si>
  <si>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</si>
  <si>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</si>
  <si>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</si>
  <si>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</si>
  <si>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</si>
  <si>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</si>
  <si>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</si>
  <si>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</si>
  <si>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</si>
  <si>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</si>
  <si>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</si>
  <si>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</si>
  <si>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</si>
  <si>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</si>
  <si>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</si>
  <si>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</si>
  <si>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</si>
  <si>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</si>
  <si>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</si>
  <si>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</si>
  <si>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</si>
  <si>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</si>
  <si>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</si>
  <si>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</si>
  <si>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</si>
  <si>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</si>
  <si>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</si>
  <si>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</si>
  <si>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</si>
  <si>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</si>
  <si>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</si>
  <si>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</si>
  <si>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</si>
  <si>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</si>
  <si>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</si>
  <si>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</si>
  <si>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</si>
  <si>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</si>
  <si>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</si>
  <si>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</si>
  <si>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</si>
  <si>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</si>
  <si>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</si>
  <si>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</si>
  <si>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</si>
  <si>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</si>
  <si>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</si>
  <si>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</si>
  <si>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</si>
  <si>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</si>
  <si>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</si>
  <si>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</si>
  <si>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</si>
  <si>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</si>
  <si>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</si>
  <si>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</si>
  <si>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</si>
  <si>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</si>
  <si>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</si>
  <si>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</si>
  <si>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</si>
  <si>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</si>
  <si>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</si>
  <si>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</si>
  <si>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</si>
  <si>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</si>
  <si>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</si>
  <si>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</si>
  <si>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</si>
  <si>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</si>
  <si>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</si>
  <si>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</si>
  <si>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</si>
  <si>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</si>
  <si>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</si>
  <si>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</si>
  <si>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</si>
  <si>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</si>
  <si>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</si>
  <si>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</si>
  <si>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</si>
  <si>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</si>
  <si>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</si>
  <si>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</si>
  <si>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</si>
  <si>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</si>
  <si>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</si>
  <si>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</si>
  <si>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</si>
  <si>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</si>
  <si>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</si>
  <si>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</si>
  <si>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</si>
  <si>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</si>
  <si>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</si>
  <si>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</si>
  <si>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</si>
  <si>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</si>
  <si>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</si>
  <si>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</si>
  <si>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</si>
  <si>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</si>
  <si>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</si>
  <si>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</si>
  <si>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</si>
  <si>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</si>
  <si>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</si>
  <si>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</si>
  <si>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</si>
  <si>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</si>
  <si>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</si>
  <si>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</si>
  <si>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</si>
  <si>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</si>
  <si>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</si>
  <si>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</si>
  <si>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</si>
  <si>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</si>
  <si>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</si>
  <si>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</si>
  <si>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</si>
  <si>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</si>
  <si>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</si>
  <si>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</si>
  <si>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</si>
  <si>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</si>
  <si>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</si>
  <si>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</si>
  <si>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</si>
  <si>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</si>
  <si>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</si>
  <si>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</si>
  <si>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</si>
  <si>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</si>
  <si>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</si>
  <si>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</si>
  <si>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</si>
  <si>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</si>
  <si>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</si>
  <si>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</si>
  <si>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</si>
  <si>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</si>
  <si>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</si>
  <si>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</si>
  <si>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</si>
  <si>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</si>
  <si>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</si>
  <si>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</si>
  <si>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</si>
  <si>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</si>
  <si>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</si>
  <si>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</si>
  <si>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</si>
  <si>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</si>
  <si>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</si>
  <si>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</si>
  <si>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</si>
  <si>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</si>
  <si>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</si>
  <si>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</si>
  <si>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</si>
  <si>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</si>
  <si>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</si>
  <si>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</si>
  <si>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</si>
  <si>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</si>
  <si>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</si>
  <si>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</si>
  <si>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</si>
  <si>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</si>
  <si>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</si>
  <si>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</si>
  <si>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</si>
  <si>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</si>
  <si>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</si>
  <si>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</si>
  <si>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</si>
  <si>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</si>
  <si>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</si>
  <si>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</si>
  <si>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</si>
  <si>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</si>
  <si>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</si>
  <si>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</si>
  <si>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</si>
  <si>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</si>
  <si>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</si>
  <si>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</si>
  <si>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</si>
  <si>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</si>
  <si>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</si>
  <si>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</si>
  <si>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</si>
  <si>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</si>
  <si>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</si>
  <si>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</si>
  <si>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</si>
  <si>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</si>
  <si>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</si>
  <si>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</si>
  <si>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</si>
  <si>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</si>
  <si>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</si>
  <si>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</si>
  <si>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</si>
  <si>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</si>
  <si>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</si>
  <si>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</si>
  <si>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</si>
  <si>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</si>
  <si>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</si>
  <si>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</si>
  <si>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</si>
  <si>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</si>
  <si>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</si>
  <si>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</si>
  <si>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</si>
  <si>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</si>
  <si>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</si>
  <si>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</si>
  <si>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</si>
  <si>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</si>
  <si>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</si>
  <si>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</si>
  <si>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</si>
  <si>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</si>
  <si>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</si>
  <si>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</si>
  <si>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</si>
  <si>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</si>
  <si>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</si>
  <si>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</si>
  <si>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</si>
  <si>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</si>
  <si>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</si>
  <si>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</si>
  <si>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</si>
  <si>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</si>
  <si>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</si>
  <si>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</si>
  <si>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</si>
  <si>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</si>
  <si>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</si>
  <si>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</si>
  <si>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</si>
  <si>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</si>
  <si>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</si>
  <si>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</si>
  <si>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</si>
  <si>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</si>
  <si>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</si>
  <si>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</si>
  <si>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</si>
  <si>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</si>
  <si>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</si>
  <si>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</si>
  <si>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</si>
  <si>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</si>
  <si>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</si>
  <si>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</si>
  <si>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</si>
  <si>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</si>
  <si>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</si>
  <si>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</si>
  <si>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</si>
  <si>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</si>
  <si>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</si>
  <si>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</si>
  <si>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</si>
  <si>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</si>
  <si>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</si>
  <si>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</si>
  <si>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</si>
  <si>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</si>
  <si>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</si>
  <si>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</si>
  <si>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</si>
  <si>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</si>
  <si>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</si>
  <si>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</si>
  <si>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</si>
  <si>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</si>
  <si>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</si>
  <si>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</si>
  <si>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</si>
  <si>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</si>
  <si>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</si>
  <si>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</si>
  <si>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</si>
  <si>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</si>
  <si>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</si>
  <si>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</si>
  <si>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</si>
  <si>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</si>
  <si>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</si>
  <si>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</si>
  <si>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</si>
  <si>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</si>
  <si>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</si>
  <si>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</si>
  <si>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</si>
  <si>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</si>
  <si>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</si>
  <si>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</si>
  <si>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</si>
  <si>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</si>
  <si>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</si>
  <si>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</si>
  <si>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</si>
  <si>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</si>
  <si>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</si>
  <si>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</si>
  <si>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</si>
  <si>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</si>
  <si>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</si>
  <si>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</si>
  <si>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</si>
  <si>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</si>
  <si>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</si>
  <si>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</si>
  <si>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</si>
  <si>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</si>
  <si>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</si>
  <si>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</si>
  <si>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</si>
  <si>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</si>
  <si>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</si>
  <si>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</si>
  <si>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</si>
  <si>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</si>
  <si>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</si>
  <si>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</si>
  <si>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</si>
  <si>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</si>
  <si>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</si>
  <si>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</si>
  <si>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</si>
  <si>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</si>
  <si>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</si>
  <si>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</si>
  <si>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</si>
  <si>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</si>
  <si>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</si>
  <si>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</si>
  <si>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</si>
  <si>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</si>
  <si>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</si>
  <si>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</si>
  <si>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</si>
  <si>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</si>
  <si>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</si>
  <si>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</si>
  <si>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</si>
  <si>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</si>
  <si>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</si>
  <si>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</si>
  <si>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</si>
  <si>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</si>
  <si>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</si>
  <si>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</si>
  <si>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</si>
  <si>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</si>
  <si>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</si>
  <si>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</si>
  <si>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</si>
  <si>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</si>
  <si>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</si>
  <si>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</si>
  <si>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</si>
  <si>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</si>
  <si>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</si>
  <si>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</si>
  <si>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</si>
  <si>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</si>
  <si>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</si>
  <si>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</si>
  <si>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</si>
  <si>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</si>
  <si>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</si>
  <si>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</si>
  <si>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</si>
  <si>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</si>
  <si>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</si>
  <si>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</si>
  <si>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</si>
  <si>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</si>
  <si>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</si>
  <si>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</si>
  <si>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</si>
  <si>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</si>
  <si>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</si>
  <si>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</si>
  <si>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</si>
  <si>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</si>
  <si>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</si>
  <si>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</si>
  <si>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</si>
  <si>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</si>
  <si>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</si>
  <si>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</si>
  <si>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</si>
  <si>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</si>
  <si>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</si>
  <si>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</si>
  <si>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</si>
  <si>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</si>
  <si>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</si>
  <si>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</si>
  <si>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</si>
  <si>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</si>
  <si>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</si>
  <si>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</si>
  <si>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</si>
  <si>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</si>
  <si>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</si>
  <si>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</si>
  <si>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</si>
  <si>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</si>
  <si>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</si>
  <si>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</si>
  <si>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</si>
  <si>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</si>
  <si>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</si>
  <si>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</si>
  <si>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</si>
  <si>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</si>
  <si>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</si>
  <si>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</si>
  <si>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</si>
  <si>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</si>
  <si>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</si>
  <si>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</si>
  <si>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</si>
  <si>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</si>
  <si>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</si>
  <si>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</si>
  <si>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</si>
  <si>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</si>
  <si>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</si>
  <si>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</si>
  <si>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</si>
  <si>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</si>
  <si>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</si>
  <si>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</si>
  <si>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</si>
  <si>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</si>
  <si>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</si>
  <si>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</si>
  <si>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</si>
  <si>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</si>
  <si>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</si>
  <si>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</si>
  <si>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</si>
  <si>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</si>
  <si>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</si>
  <si>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</si>
  <si>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</si>
  <si>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</si>
  <si>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</si>
  <si>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</si>
  <si>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</si>
  <si>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</si>
  <si>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</si>
  <si>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</si>
  <si>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</si>
  <si>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</si>
  <si>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</si>
  <si>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</si>
  <si>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</si>
  <si>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</si>
  <si>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</si>
  <si>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</si>
  <si>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</si>
  <si>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</si>
  <si>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</si>
  <si>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</si>
  <si>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</si>
  <si>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</si>
  <si>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</si>
  <si>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</si>
  <si>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</si>
  <si>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</si>
  <si>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</si>
  <si>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</si>
  <si>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</si>
  <si>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</si>
  <si>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</si>
  <si>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</si>
  <si>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</si>
  <si>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</si>
  <si>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</si>
  <si>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</si>
  <si>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</si>
  <si>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</si>
  <si>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</si>
  <si>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</si>
  <si>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</si>
  <si>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</si>
  <si>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</si>
  <si>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</si>
  <si>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</si>
  <si>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</si>
  <si>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</si>
  <si>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</si>
  <si>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</si>
  <si>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</si>
  <si>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</si>
  <si>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</si>
  <si>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</si>
  <si>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</si>
  <si>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</si>
  <si>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</si>
  <si>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</si>
  <si>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</si>
  <si>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</si>
  <si>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</si>
  <si>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</si>
  <si>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</si>
  <si>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</si>
  <si>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</si>
  <si>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</si>
  <si>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</si>
  <si>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</si>
  <si>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</si>
  <si>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</si>
  <si>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</si>
  <si>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</si>
  <si>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</si>
  <si>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</si>
  <si>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</si>
  <si>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</si>
  <si>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</si>
  <si>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</si>
  <si>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</si>
  <si>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</si>
  <si>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</si>
  <si>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</si>
  <si>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</si>
  <si>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</si>
  <si>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</si>
  <si>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</si>
  <si>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</si>
  <si>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</si>
  <si>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</si>
  <si>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</si>
  <si>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</si>
  <si>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</si>
  <si>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</si>
  <si>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</si>
  <si>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</si>
  <si>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</si>
  <si>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</si>
  <si>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</si>
  <si>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</si>
  <si>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</si>
  <si>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</si>
  <si>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</si>
  <si>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</si>
  <si>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</si>
  <si>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</si>
  <si>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</si>
  <si>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</si>
  <si>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</si>
  <si>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</si>
  <si>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</si>
  <si>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</si>
  <si>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</si>
  <si>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</si>
  <si>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</si>
  <si>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</si>
  <si>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</si>
  <si>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</si>
  <si>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</si>
  <si>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</si>
  <si>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</si>
  <si>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</si>
  <si>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</si>
  <si>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</si>
  <si>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</si>
  <si>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</si>
  <si>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</si>
  <si>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</si>
  <si>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</si>
  <si>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</si>
  <si>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</si>
  <si>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</si>
  <si>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</si>
  <si>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</si>
  <si>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</si>
  <si>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</si>
  <si>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</si>
  <si>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</si>
  <si>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</si>
  <si>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</si>
  <si>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</si>
  <si>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</si>
  <si>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</si>
  <si>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</si>
  <si>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</si>
  <si>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</si>
  <si>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</si>
  <si>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</si>
  <si>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</si>
  <si>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</si>
  <si>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</si>
  <si>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</si>
  <si>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</si>
  <si>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</si>
  <si>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</si>
  <si>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</si>
  <si>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</si>
  <si>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</si>
  <si>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</si>
  <si>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</si>
  <si>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</si>
  <si>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</si>
  <si>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</si>
  <si>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</si>
  <si>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</si>
  <si>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</si>
  <si>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</si>
  <si>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</si>
  <si>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</si>
  <si>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</si>
  <si>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</si>
  <si>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</si>
  <si>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</si>
  <si>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</si>
  <si>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</si>
  <si>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</si>
  <si>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</si>
  <si>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</si>
  <si>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</si>
  <si>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</si>
  <si>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</si>
  <si>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</si>
  <si>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</si>
  <si>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</si>
  <si>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</si>
  <si>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</si>
  <si>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</si>
  <si>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</si>
  <si>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</si>
  <si>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</si>
  <si>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</si>
  <si>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</si>
  <si>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</si>
  <si>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</si>
  <si>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</si>
  <si>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</si>
  <si>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</si>
  <si>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</si>
  <si>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</si>
  <si>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</si>
  <si>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</si>
  <si>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</si>
  <si>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</si>
  <si>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</si>
  <si>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</si>
  <si>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</si>
  <si>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</si>
  <si>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</si>
  <si>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</si>
  <si>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</si>
  <si>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</si>
  <si>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</si>
  <si>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</si>
  <si>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</si>
  <si>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</si>
  <si>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</si>
  <si>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</si>
  <si>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</si>
  <si>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</si>
  <si>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</si>
  <si>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</si>
  <si>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</si>
  <si>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</si>
  <si>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</si>
  <si>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</si>
  <si>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</si>
  <si>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</si>
  <si>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</si>
  <si>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</si>
  <si>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</si>
  <si>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</si>
  <si>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</si>
  <si>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</si>
  <si>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</si>
  <si>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</si>
  <si>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</si>
  <si>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</si>
  <si>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</si>
  <si>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</si>
  <si>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</si>
  <si>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</si>
  <si>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</si>
  <si>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</si>
  <si>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</si>
  <si>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</si>
  <si>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</si>
  <si>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</si>
  <si>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</si>
  <si>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</si>
  <si>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</si>
  <si>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</si>
  <si>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</si>
  <si>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</si>
  <si>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</si>
  <si>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</si>
  <si>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</si>
  <si>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</si>
  <si>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</si>
  <si>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</si>
  <si>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</si>
  <si>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</si>
  <si>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</si>
  <si>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</si>
  <si>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</si>
  <si>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</si>
  <si>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</si>
  <si>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</si>
  <si>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</si>
  <si>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</si>
  <si>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</si>
  <si>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</si>
  <si>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</si>
  <si>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</si>
  <si>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</si>
  <si>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</si>
  <si>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</si>
  <si>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</si>
  <si>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</si>
  <si>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</si>
  <si>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</si>
  <si>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</si>
  <si>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</si>
  <si>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</si>
  <si>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</si>
  <si>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</si>
  <si>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</si>
  <si>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</si>
  <si>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</si>
  <si>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</si>
  <si>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</si>
  <si>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</si>
  <si>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</si>
  <si>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</si>
  <si>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</si>
  <si>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</si>
  <si>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</si>
  <si>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</si>
  <si>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</si>
  <si>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</si>
  <si>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</si>
  <si>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</si>
  <si>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</si>
  <si>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</si>
  <si>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</si>
  <si>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</si>
  <si>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</si>
  <si>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</si>
  <si>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</si>
  <si>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</si>
  <si>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</si>
  <si>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</si>
  <si>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</si>
  <si>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</si>
  <si>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</si>
  <si>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</si>
  <si>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</si>
  <si>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</si>
  <si>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</si>
  <si>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</si>
  <si>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</si>
  <si>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</si>
  <si>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</si>
  <si>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</si>
  <si>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</si>
  <si>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</si>
  <si>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</si>
  <si>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</si>
  <si>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</si>
  <si>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</si>
  <si>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</si>
  <si>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</si>
  <si>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</si>
  <si>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</si>
  <si>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</si>
  <si>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</si>
  <si>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</si>
  <si>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</si>
  <si>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</si>
  <si>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</si>
  <si>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</si>
  <si>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</si>
  <si>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</si>
  <si>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</si>
  <si>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</si>
  <si>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</si>
  <si>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</si>
  <si>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</si>
  <si>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</si>
  <si>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</si>
  <si>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</si>
  <si>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</si>
  <si>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</si>
  <si>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</si>
  <si>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</si>
  <si>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</si>
  <si>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</si>
  <si>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</si>
  <si>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</si>
  <si>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</si>
  <si>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</si>
  <si>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</si>
  <si>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</si>
  <si>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</si>
  <si>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</si>
  <si>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</si>
  <si>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</si>
  <si>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</si>
  <si>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</si>
  <si>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</si>
  <si>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</si>
  <si>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</si>
  <si>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</si>
  <si>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</si>
  <si>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</si>
  <si>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</si>
  <si>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</si>
  <si>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</si>
  <si>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</si>
  <si>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</si>
  <si>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</si>
  <si>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</si>
  <si>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</si>
  <si>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</si>
  <si>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</si>
  <si>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</si>
  <si>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</si>
  <si>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</si>
  <si>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</si>
  <si>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</si>
  <si>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</si>
  <si>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</si>
  <si>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</si>
  <si>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</si>
  <si>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</si>
  <si>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</si>
  <si>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</si>
  <si>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</si>
  <si>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</si>
  <si>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</si>
  <si>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</si>
  <si>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</si>
  <si>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</si>
  <si>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</si>
  <si>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</si>
  <si>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</si>
  <si>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</si>
  <si>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</si>
  <si>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</si>
  <si>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</si>
  <si>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</si>
  <si>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</si>
  <si>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</si>
  <si>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</si>
  <si>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</si>
  <si>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</si>
  <si>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</si>
  <si>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</si>
  <si>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</si>
  <si>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</si>
  <si>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</si>
  <si>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</si>
  <si>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</si>
  <si>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</si>
  <si>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</si>
  <si>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</si>
  <si>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</si>
  <si>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</si>
  <si>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</si>
  <si>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</si>
  <si>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</si>
  <si>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</si>
  <si>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</si>
  <si>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</si>
  <si>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</si>
  <si>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</si>
  <si>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</si>
  <si>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</si>
  <si>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</si>
  <si>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</si>
  <si>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</si>
  <si>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</si>
  <si>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</si>
  <si>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</si>
  <si>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</si>
  <si>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</si>
  <si>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</si>
  <si>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</si>
  <si>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</si>
  <si>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</si>
  <si>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</si>
  <si>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</si>
  <si>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</si>
  <si>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</si>
  <si>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</si>
  <si>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</si>
  <si>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</si>
  <si>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</si>
  <si>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</si>
  <si>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</si>
  <si>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</si>
  <si>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</si>
  <si>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</si>
  <si>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</si>
  <si>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</si>
  <si>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</si>
  <si>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</si>
  <si>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</si>
  <si>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</si>
  <si>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</si>
  <si>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</si>
  <si>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</si>
  <si>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</si>
  <si>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</si>
  <si>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</si>
  <si>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</si>
  <si>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</si>
  <si>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</si>
  <si>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</si>
  <si>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</si>
  <si>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</si>
  <si>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</si>
  <si>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</si>
  <si>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</si>
  <si>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</si>
  <si>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</si>
  <si>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</si>
  <si>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</si>
  <si>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</si>
  <si>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</si>
  <si>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</si>
  <si>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</si>
  <si>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</si>
  <si>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</si>
  <si>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</si>
  <si>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</si>
  <si>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</si>
  <si>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</si>
  <si>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</si>
  <si>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</si>
  <si>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</si>
  <si>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</si>
  <si>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</si>
  <si>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</si>
  <si>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</si>
  <si>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</si>
  <si>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</si>
  <si>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</si>
  <si>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</si>
  <si>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</si>
  <si>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</si>
  <si>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</si>
  <si>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</si>
  <si>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</si>
  <si>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</si>
  <si>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</si>
  <si>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</si>
  <si>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</si>
  <si>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</si>
  <si>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</si>
  <si>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</si>
  <si>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</si>
  <si>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</si>
  <si>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</si>
  <si>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</si>
  <si>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</si>
  <si>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</si>
  <si>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</si>
  <si>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</si>
  <si>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</si>
  <si>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</si>
  <si>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</si>
  <si>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</si>
  <si>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</si>
  <si>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</si>
  <si>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</si>
  <si>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</si>
  <si>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</si>
  <si>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</si>
  <si>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</si>
  <si>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</si>
  <si>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</si>
  <si>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</si>
  <si>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</si>
  <si>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</si>
  <si>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</si>
  <si>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</si>
  <si>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</si>
  <si>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</si>
  <si>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</si>
  <si>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</si>
  <si>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</si>
  <si>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</si>
  <si>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</si>
  <si>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</si>
  <si>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</si>
  <si>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</si>
  <si>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</si>
  <si>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</si>
  <si>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</si>
  <si>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</si>
  <si>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</si>
  <si>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</si>
  <si>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</si>
  <si>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</si>
  <si>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</si>
  <si>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</si>
  <si>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</si>
  <si>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</si>
  <si>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</si>
  <si>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</si>
  <si>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</si>
  <si>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</si>
  <si>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</si>
  <si>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</si>
  <si>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</si>
  <si>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</si>
  <si>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</si>
  <si>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</si>
  <si>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</si>
  <si>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</si>
  <si>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</si>
  <si>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</si>
  <si>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</si>
  <si>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</si>
  <si>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</si>
  <si>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</si>
  <si>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</si>
  <si>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</si>
  <si>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</si>
  <si>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</si>
  <si>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</si>
  <si>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</si>
  <si>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</si>
  <si>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</si>
  <si>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</si>
  <si>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</si>
  <si>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</si>
  <si>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</si>
  <si>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</si>
  <si>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</si>
  <si>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</si>
  <si>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</si>
  <si>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</si>
  <si>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</si>
  <si>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</si>
  <si>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</si>
  <si>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</si>
  <si>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</si>
  <si>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</si>
  <si>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</si>
  <si>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</si>
  <si>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</si>
  <si>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</si>
  <si>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</si>
  <si>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</si>
  <si>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</si>
  <si>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</si>
  <si>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</si>
  <si>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</si>
  <si>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</si>
  <si>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</si>
  <si>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</si>
  <si>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</si>
  <si>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</si>
  <si>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</si>
  <si>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</si>
  <si>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</si>
  <si>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</si>
  <si>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</si>
  <si>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</si>
  <si>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</si>
  <si>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</si>
  <si>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</si>
  <si>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</si>
  <si>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</si>
  <si>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</si>
  <si>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</si>
  <si>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</si>
  <si>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</si>
  <si>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</si>
  <si>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</si>
  <si>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</si>
  <si>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</si>
  <si>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</si>
  <si>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</si>
  <si>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</si>
  <si>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</si>
  <si>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</si>
  <si>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</si>
  <si>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</si>
  <si>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</si>
  <si>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</si>
  <si>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</si>
  <si>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</si>
  <si>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</si>
  <si>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</si>
  <si>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</si>
  <si>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</si>
  <si>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</si>
  <si>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</si>
  <si>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</si>
  <si>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</si>
  <si>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</si>
  <si>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</si>
  <si>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</si>
  <si>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</si>
  <si>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</si>
  <si>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</si>
  <si>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</si>
  <si>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</si>
  <si>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</si>
  <si>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</si>
  <si>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</si>
  <si>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</si>
  <si>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</si>
  <si>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</si>
  <si>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</si>
  <si>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</si>
  <si>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</si>
  <si>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</si>
  <si>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</si>
  <si>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</si>
  <si>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</si>
  <si>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</si>
  <si>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</si>
  <si>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</si>
  <si>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</si>
  <si>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</si>
  <si>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</si>
  <si>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</si>
  <si>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</si>
  <si>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</si>
  <si>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</si>
  <si>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</si>
  <si>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</si>
  <si>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</si>
  <si>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</si>
  <si>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</si>
  <si>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</si>
  <si>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</si>
  <si>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</si>
  <si>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</si>
  <si>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</si>
  <si>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</si>
  <si>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</si>
  <si>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</si>
  <si>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</si>
  <si>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</si>
  <si>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</si>
  <si>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</si>
  <si>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</si>
  <si>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</si>
  <si>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</si>
  <si>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</si>
  <si>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</si>
  <si>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</si>
  <si>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</si>
  <si>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</si>
  <si>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</si>
  <si>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</si>
  <si>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</si>
  <si>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</si>
  <si>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</si>
  <si>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</si>
  <si>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</si>
  <si>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</si>
  <si>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</si>
  <si>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</si>
  <si>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</si>
  <si>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</si>
  <si>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</si>
  <si>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</si>
  <si>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</si>
  <si>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</si>
  <si>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</si>
  <si>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</si>
  <si>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</si>
  <si>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</si>
  <si>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</si>
  <si>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</si>
  <si>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</si>
  <si>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</si>
  <si>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</si>
  <si>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</si>
  <si>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</si>
  <si>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</si>
  <si>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</si>
  <si>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</si>
  <si>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</si>
  <si>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</si>
  <si>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</si>
  <si>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</si>
  <si>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</si>
  <si>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</si>
  <si>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</si>
  <si>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</si>
  <si>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</si>
  <si>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</si>
  <si>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</si>
  <si>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</si>
  <si>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</si>
  <si>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</si>
  <si>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</si>
  <si>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</si>
  <si>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</si>
  <si>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</si>
  <si>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</si>
  <si>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</si>
  <si>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</si>
  <si>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</si>
  <si>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</si>
  <si>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</si>
  <si>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</si>
  <si>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</si>
  <si>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</si>
  <si>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</si>
  <si>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</si>
  <si>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</si>
  <si>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</si>
  <si>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</si>
  <si>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</si>
  <si>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</si>
  <si>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</si>
  <si>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</si>
  <si>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</si>
  <si>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</si>
  <si>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</si>
  <si>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</si>
  <si>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</si>
  <si>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</si>
  <si>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</si>
  <si>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</si>
  <si>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</si>
  <si>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</si>
  <si>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</si>
  <si>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</si>
  <si>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</si>
  <si>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</si>
  <si>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</si>
  <si>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</si>
  <si>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</si>
  <si>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</si>
  <si>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</si>
  <si>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</si>
  <si>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</si>
  <si>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</si>
  <si>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</si>
  <si>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</si>
  <si>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</si>
  <si>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</si>
  <si>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</si>
  <si>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</si>
  <si>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</si>
  <si>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</si>
  <si>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</si>
  <si>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</si>
  <si>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</si>
  <si>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</si>
  <si>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</si>
  <si>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</si>
  <si>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</si>
  <si>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</si>
  <si>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</si>
  <si>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</si>
  <si>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</si>
  <si>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</si>
  <si>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</si>
  <si>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</si>
  <si>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</si>
  <si>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</si>
  <si>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</si>
  <si>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</si>
  <si>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</si>
  <si>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</si>
  <si>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</si>
  <si>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</si>
  <si>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</si>
  <si>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</si>
  <si>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</si>
  <si>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</si>
  <si>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</si>
  <si>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</si>
  <si>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</si>
  <si>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</si>
  <si>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</si>
  <si>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</si>
  <si>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</si>
  <si>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</si>
  <si>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</si>
  <si>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</si>
  <si>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</si>
  <si>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</si>
  <si>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</si>
  <si>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</si>
  <si>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</si>
  <si>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</si>
  <si>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</si>
  <si>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</si>
  <si>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</si>
  <si>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</si>
  <si>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</si>
  <si>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</si>
  <si>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</si>
  <si>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</si>
  <si>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</si>
  <si>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</si>
  <si>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</si>
  <si>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</si>
  <si>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</si>
  <si>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</si>
  <si>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</si>
  <si>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</si>
  <si>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</si>
  <si>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</si>
  <si>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</si>
  <si>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</si>
  <si>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</si>
  <si>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</si>
  <si>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</si>
  <si>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</si>
  <si>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</si>
  <si>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</si>
  <si>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</si>
  <si>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</si>
  <si>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</si>
  <si>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</si>
  <si>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</si>
  <si>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</si>
  <si>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</si>
  <si>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</si>
  <si>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</si>
  <si>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</si>
  <si>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</si>
  <si>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</si>
  <si>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</si>
  <si>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</si>
  <si>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</si>
  <si>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</si>
  <si>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</si>
  <si>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</si>
  <si>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</si>
  <si>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</si>
  <si>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</si>
  <si>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</si>
  <si>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</si>
  <si>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</si>
  <si>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</si>
  <si>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</si>
  <si>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</si>
  <si>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</si>
  <si>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</si>
  <si>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</si>
  <si>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</si>
  <si>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</si>
  <si>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</si>
  <si>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</si>
  <si>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</si>
  <si>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</si>
  <si>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</si>
  <si>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</si>
  <si>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</si>
  <si>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</si>
  <si>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</si>
  <si>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</si>
  <si>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</si>
  <si>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</si>
  <si>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</si>
  <si>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</si>
  <si>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</si>
  <si>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</si>
  <si>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</si>
  <si>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</si>
  <si>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</si>
  <si>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</si>
  <si>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</si>
  <si>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</si>
  <si>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</si>
  <si>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</si>
  <si>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</si>
  <si>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</si>
  <si>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</si>
  <si>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</si>
  <si>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</si>
  <si>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</si>
  <si>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</si>
  <si>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</si>
  <si>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</si>
  <si>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</si>
  <si>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</si>
  <si>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</si>
  <si>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</si>
  <si>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</si>
  <si>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</si>
  <si>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</si>
  <si>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</si>
  <si>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</si>
  <si>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</si>
  <si>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</si>
  <si>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</si>
  <si>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</si>
  <si>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</si>
  <si>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</si>
  <si>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</si>
  <si>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</si>
  <si>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</si>
  <si>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</si>
  <si>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</si>
  <si>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</si>
  <si>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</si>
  <si>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</si>
  <si>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</si>
  <si>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</si>
  <si>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</si>
  <si>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</si>
  <si>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</si>
  <si>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</si>
  <si>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</si>
  <si>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</si>
  <si>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</si>
  <si>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</si>
  <si>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</si>
  <si>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</si>
  <si>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</si>
  <si>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</si>
  <si>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</si>
  <si>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</si>
  <si>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</si>
  <si>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</si>
  <si>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</si>
  <si>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</si>
  <si>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</si>
  <si>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</si>
  <si>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</si>
  <si>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</si>
  <si>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</si>
  <si>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</si>
  <si>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</si>
  <si>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</si>
  <si>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</si>
  <si>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</si>
  <si>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</si>
  <si>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</si>
  <si>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</si>
  <si>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</si>
  <si>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</si>
  <si>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</si>
  <si>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</si>
  <si>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</si>
  <si>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</si>
  <si>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</si>
  <si>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</si>
  <si>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</si>
  <si>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</si>
  <si>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</si>
  <si>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</si>
  <si>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</si>
  <si>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</si>
  <si>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</si>
  <si>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</si>
  <si>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</si>
  <si>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</si>
  <si>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</si>
  <si>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</si>
  <si>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</si>
  <si>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</si>
  <si>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</si>
  <si>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</si>
  <si>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</si>
  <si>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</si>
  <si>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</si>
  <si>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</si>
  <si>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</si>
  <si>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</si>
  <si>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</si>
  <si>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</si>
  <si>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</si>
  <si>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</si>
  <si>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</si>
  <si>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</si>
  <si>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</si>
  <si>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</si>
  <si>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</si>
  <si>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</si>
  <si>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</si>
  <si>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</si>
  <si>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</si>
  <si>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</si>
  <si>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</si>
  <si>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</si>
  <si>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</si>
  <si>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</si>
  <si>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</si>
  <si>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</si>
  <si>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</si>
  <si>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</si>
  <si>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</si>
  <si>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</si>
  <si>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</si>
  <si>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</si>
  <si>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</si>
  <si>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</si>
  <si>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</si>
  <si>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</si>
  <si>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</si>
  <si>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</si>
  <si>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</si>
  <si>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</si>
  <si>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</si>
  <si>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</si>
  <si>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</si>
  <si>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</si>
  <si>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</si>
  <si>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</si>
  <si>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</si>
  <si>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</si>
  <si>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</si>
  <si>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</si>
  <si>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</si>
  <si>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</si>
  <si>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</si>
  <si>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</si>
  <si>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</si>
  <si>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</si>
  <si>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</si>
  <si>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</si>
  <si>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</si>
  <si>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</si>
  <si>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</si>
  <si>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</si>
  <si>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</si>
  <si>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</si>
  <si>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</si>
  <si>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</si>
  <si>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</si>
  <si>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</si>
  <si>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</si>
  <si>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</si>
  <si>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</si>
  <si>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</si>
  <si>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</si>
  <si>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</si>
  <si>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</si>
  <si>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</si>
  <si>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</si>
  <si>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</si>
  <si>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</si>
  <si>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</si>
  <si>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</si>
  <si>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</si>
  <si>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</si>
  <si>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</si>
  <si>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</si>
  <si>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</si>
  <si>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</si>
  <si>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</si>
  <si>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</si>
  <si>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</si>
  <si>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</si>
  <si>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</si>
  <si>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</si>
  <si>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</si>
  <si>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</si>
  <si>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</si>
  <si>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</si>
  <si>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</si>
  <si>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</si>
  <si>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</si>
  <si>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</si>
  <si>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</si>
  <si>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</si>
  <si>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</si>
  <si>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</si>
  <si>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</si>
  <si>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</si>
  <si>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</si>
  <si>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</si>
  <si>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</si>
  <si>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</si>
  <si>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</si>
  <si>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</si>
  <si>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</si>
  <si>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</si>
  <si>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</si>
  <si>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</si>
  <si>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</si>
  <si>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</si>
  <si>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</si>
  <si>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</si>
  <si>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</si>
  <si>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</si>
  <si>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</si>
  <si>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</si>
  <si>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</si>
  <si>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</si>
  <si>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</si>
  <si>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</si>
  <si>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</si>
  <si>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</si>
  <si>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</si>
  <si>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</si>
  <si>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</si>
  <si>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</si>
  <si>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</si>
  <si>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</si>
  <si>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</si>
  <si>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</si>
  <si>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</si>
  <si>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</si>
  <si>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</si>
  <si>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</si>
  <si>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</si>
  <si>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</si>
  <si>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</si>
  <si>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</si>
  <si>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</si>
  <si>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</si>
  <si>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</si>
  <si>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</si>
  <si>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</si>
  <si>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</si>
  <si>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</si>
  <si>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</si>
  <si>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</si>
  <si>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</si>
  <si>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</si>
  <si>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</si>
  <si>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</si>
  <si>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</si>
  <si>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</si>
  <si>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</si>
  <si>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</si>
  <si>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</si>
  <si>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</si>
  <si>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</si>
  <si>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</si>
  <si>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</si>
  <si>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</si>
  <si>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</si>
  <si>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</si>
  <si>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</si>
  <si>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</si>
  <si>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</si>
  <si>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</si>
  <si>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</si>
  <si>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</si>
  <si>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</si>
  <si>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</si>
  <si>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</si>
  <si>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</si>
  <si>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</si>
  <si>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</si>
  <si>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</si>
  <si>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</si>
  <si>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</si>
  <si>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</si>
  <si>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</si>
  <si>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</si>
  <si>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</si>
  <si>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</si>
  <si>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</si>
  <si>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</si>
  <si>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</si>
  <si>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</si>
  <si>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</si>
  <si>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</si>
  <si>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</si>
  <si>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</si>
  <si>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</si>
  <si>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</si>
  <si>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</si>
  <si>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</si>
  <si>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</si>
  <si>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</si>
  <si>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</si>
  <si>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</si>
  <si>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</si>
  <si>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</si>
  <si>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</si>
  <si>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</si>
  <si>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</si>
  <si>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</si>
  <si>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</si>
  <si>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</si>
  <si>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</si>
  <si>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</si>
  <si>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</si>
  <si>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</si>
  <si>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</si>
  <si>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</si>
  <si>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</si>
  <si>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</si>
  <si>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</si>
  <si>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</si>
  <si>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</si>
  <si>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</si>
  <si>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</si>
  <si>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</si>
  <si>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</si>
  <si>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</si>
  <si>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</si>
  <si>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</si>
  <si>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</si>
  <si>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</si>
  <si>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</si>
  <si>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</si>
  <si>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</si>
  <si>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</si>
  <si>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</si>
  <si>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</si>
  <si>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</si>
  <si>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</si>
  <si>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</si>
  <si>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</si>
  <si>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</si>
  <si>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</si>
  <si>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</si>
  <si>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</si>
  <si>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</si>
  <si>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</si>
  <si>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</si>
  <si>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</si>
  <si>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</si>
  <si>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</si>
  <si>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</si>
  <si>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</si>
  <si>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</si>
  <si>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</si>
  <si>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</si>
  <si>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</si>
  <si>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</si>
  <si>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</si>
  <si>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</si>
  <si>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</si>
  <si>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</si>
  <si>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</si>
  <si>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</si>
  <si>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</si>
  <si>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</si>
  <si>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</si>
  <si>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</si>
  <si>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</si>
  <si>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</si>
  <si>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</si>
  <si>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</si>
  <si>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</si>
  <si>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</si>
  <si>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</si>
  <si>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</si>
  <si>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</si>
  <si>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</si>
  <si>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</si>
  <si>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</si>
  <si>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</si>
  <si>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</si>
  <si>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</si>
  <si>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</si>
  <si>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</si>
  <si>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</si>
  <si>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</si>
  <si>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</si>
  <si>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</si>
  <si>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</si>
  <si>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</si>
  <si>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</si>
  <si>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</si>
  <si>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</si>
  <si>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</si>
  <si>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</si>
  <si>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</si>
  <si>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</si>
  <si>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</si>
  <si>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</si>
  <si>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</si>
  <si>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</si>
  <si>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</si>
  <si>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</si>
  <si>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</si>
  <si>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</si>
  <si>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</si>
  <si>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</si>
  <si>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</si>
  <si>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</si>
  <si>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</si>
  <si>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</si>
  <si>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</si>
  <si>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</si>
  <si>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</si>
  <si>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</si>
  <si>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</si>
  <si>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</si>
  <si>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</si>
  <si>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</si>
  <si>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</si>
  <si>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</si>
  <si>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</si>
  <si>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</si>
  <si>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</si>
  <si>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</si>
  <si>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</si>
  <si>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</si>
  <si>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</si>
  <si>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</si>
  <si>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</si>
  <si>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</si>
  <si>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</si>
  <si>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</si>
  <si>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</si>
  <si>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</si>
  <si>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</si>
  <si>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</si>
  <si>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</si>
  <si>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</si>
  <si>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</si>
  <si>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</si>
  <si>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</si>
  <si>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</si>
  <si>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</si>
  <si>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</si>
  <si>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</si>
  <si>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</si>
  <si>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</si>
  <si>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</si>
  <si>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</si>
  <si>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</si>
  <si>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</si>
  <si>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</si>
  <si>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</si>
  <si>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</si>
  <si>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</si>
  <si>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</si>
  <si>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</si>
  <si>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</si>
  <si>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</si>
  <si>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</si>
  <si>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</si>
  <si>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</si>
  <si>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</si>
  <si>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</si>
  <si>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</si>
  <si>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</si>
  <si>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</si>
  <si>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</si>
  <si>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</si>
  <si>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</si>
  <si>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</si>
  <si>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</si>
  <si>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</si>
  <si>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</si>
  <si>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</si>
  <si>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</si>
  <si>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</si>
  <si>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</si>
  <si>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</si>
  <si>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</si>
  <si>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</si>
  <si>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</si>
  <si>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</si>
  <si>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</si>
  <si>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</si>
  <si>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</si>
  <si>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</si>
  <si>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</si>
  <si>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</si>
  <si>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</si>
  <si>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</si>
  <si>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</si>
  <si>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</si>
  <si>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</si>
  <si>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</si>
  <si>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</si>
  <si>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</si>
  <si>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</si>
  <si>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</si>
  <si>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</si>
  <si>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</si>
  <si>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</si>
  <si>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</si>
  <si>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</si>
  <si>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</si>
  <si>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</si>
  <si>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</si>
  <si>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</si>
  <si>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</si>
  <si>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</si>
  <si>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</si>
  <si>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</si>
  <si>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</si>
  <si>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</si>
  <si>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</si>
  <si>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</si>
  <si>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</si>
  <si>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</si>
  <si>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</si>
  <si>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</si>
  <si>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</si>
  <si>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</si>
  <si>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</si>
  <si>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</si>
  <si>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</si>
  <si>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</si>
  <si>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</si>
  <si>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</si>
  <si>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</si>
  <si>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</si>
  <si>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</si>
  <si>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</si>
  <si>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</si>
  <si>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</si>
  <si>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</si>
  <si>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</si>
  <si>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</si>
  <si>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</si>
  <si>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</si>
  <si>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</si>
  <si>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</si>
  <si>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</si>
  <si>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</si>
  <si>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</si>
  <si>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</si>
  <si>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</si>
  <si>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</si>
  <si>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</si>
  <si>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</si>
  <si>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</si>
  <si>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</si>
  <si>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</si>
  <si>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</si>
  <si>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</si>
  <si>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</si>
  <si>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</si>
  <si>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</si>
  <si>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</si>
  <si>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</si>
  <si>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</si>
  <si>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</si>
  <si>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</si>
  <si>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</si>
  <si>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</si>
  <si>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</si>
  <si>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</si>
  <si>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</si>
  <si>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</si>
  <si>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</si>
  <si>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</si>
  <si>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</si>
  <si>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</si>
  <si>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</si>
  <si>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</si>
  <si>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</si>
  <si>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</si>
  <si>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</si>
  <si>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</si>
  <si>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</si>
  <si>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</si>
  <si>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</si>
  <si>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</si>
  <si>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</si>
  <si>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</si>
  <si>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</si>
  <si>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</si>
  <si>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</si>
  <si>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</si>
  <si>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</si>
  <si>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</si>
  <si>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</si>
  <si>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</si>
  <si>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</si>
  <si>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</si>
  <si>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</si>
  <si>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</si>
  <si>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</si>
  <si>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</si>
  <si>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</si>
  <si>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</si>
  <si>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</si>
  <si>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</si>
  <si>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</si>
  <si>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</si>
  <si>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</si>
  <si>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</si>
  <si>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</si>
  <si>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</si>
  <si>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</si>
  <si>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</si>
  <si>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</si>
  <si>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</si>
  <si>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</si>
  <si>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</si>
  <si>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</si>
  <si>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</si>
  <si>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</si>
  <si>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</si>
  <si>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</si>
  <si>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</si>
  <si>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</si>
  <si>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</si>
  <si>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</si>
  <si>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</si>
  <si>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</si>
  <si>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</si>
  <si>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</si>
  <si>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</si>
  <si>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</si>
  <si>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</si>
  <si>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</si>
  <si>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</si>
  <si>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</si>
  <si>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</si>
  <si>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</si>
  <si>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</si>
  <si>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</si>
  <si>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</si>
  <si>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</si>
  <si>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</si>
  <si>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</si>
  <si>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</si>
  <si>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</si>
  <si>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</si>
  <si>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</si>
  <si>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</si>
  <si>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</si>
  <si>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</si>
  <si>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</si>
  <si>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</si>
  <si>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</si>
  <si>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</si>
  <si>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</si>
  <si>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</si>
  <si>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</si>
  <si>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</si>
  <si>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</si>
  <si>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</si>
  <si>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</si>
  <si>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</si>
  <si>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</si>
  <si>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</si>
  <si>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</si>
  <si>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</si>
  <si>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</si>
  <si>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</si>
  <si>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</si>
  <si>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</si>
  <si>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</si>
  <si>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</si>
  <si>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</si>
  <si>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</si>
  <si>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</si>
  <si>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</si>
  <si>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</si>
  <si>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</si>
  <si>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</si>
  <si>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</si>
  <si>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</si>
  <si>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</si>
  <si>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</si>
  <si>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</si>
  <si>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</si>
  <si>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</si>
  <si>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</si>
  <si>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</si>
  <si>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</si>
  <si>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</si>
  <si>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</si>
  <si>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</si>
  <si>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</si>
  <si>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</si>
  <si>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</si>
  <si>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</si>
  <si>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</si>
  <si>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</si>
  <si>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</si>
  <si>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</si>
  <si>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</si>
  <si>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</si>
  <si>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</si>
  <si>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</si>
  <si>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</si>
  <si>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</si>
  <si>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</si>
  <si>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</si>
  <si>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</si>
  <si>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</si>
  <si>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</si>
  <si>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</si>
  <si>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</si>
  <si>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</si>
  <si>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</si>
  <si>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</si>
  <si>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</si>
  <si>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</si>
  <si>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</si>
  <si>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</si>
  <si>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</si>
  <si>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</si>
  <si>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</si>
  <si>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</si>
  <si>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</si>
  <si>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</si>
  <si>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</si>
  <si>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</si>
  <si>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</si>
  <si>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</si>
  <si>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</si>
  <si>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</si>
  <si>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</si>
  <si>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</si>
  <si>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</si>
  <si>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</si>
  <si>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</si>
  <si>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</si>
  <si>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</si>
  <si>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</si>
  <si>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</si>
  <si>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</si>
  <si>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</si>
  <si>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</si>
  <si>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</si>
  <si>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</si>
  <si>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</si>
  <si>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</si>
  <si>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</si>
  <si>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</si>
  <si>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</si>
  <si>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</si>
  <si>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</si>
  <si>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</si>
  <si>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</si>
  <si>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</si>
  <si>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</si>
  <si>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</si>
  <si>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</si>
  <si>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</si>
  <si>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</si>
  <si>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</si>
  <si>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</si>
  <si>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</si>
  <si>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</si>
  <si>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</si>
  <si>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</si>
  <si>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</si>
  <si>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</si>
  <si>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</si>
  <si>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</si>
  <si>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</si>
  <si>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</si>
  <si>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</si>
  <si>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</si>
  <si>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</si>
  <si>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</si>
  <si>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</si>
  <si>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</si>
  <si>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</si>
  <si>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</si>
  <si>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</si>
  <si>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</si>
  <si>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</si>
  <si>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</si>
  <si>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</si>
  <si>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</si>
  <si>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</si>
  <si>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</si>
  <si>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</si>
  <si>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</si>
  <si>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</si>
  <si>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</si>
  <si>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</si>
  <si>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</si>
  <si>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</si>
  <si>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</si>
  <si>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</si>
  <si>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</si>
  <si>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</si>
  <si>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</si>
  <si>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</si>
  <si>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</si>
  <si>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</si>
  <si>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</si>
  <si>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</si>
  <si>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</si>
  <si>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</si>
  <si>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</si>
  <si>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</si>
  <si>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</si>
  <si>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</si>
  <si>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</si>
  <si>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</si>
  <si>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</si>
  <si>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</si>
  <si>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</si>
  <si>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</si>
  <si>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</si>
  <si>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</si>
  <si>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</si>
  <si>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</si>
  <si>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</si>
  <si>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</si>
  <si>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</si>
  <si>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</si>
  <si>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</si>
  <si>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</si>
  <si>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</si>
  <si>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</si>
  <si>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</si>
  <si>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</si>
  <si>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</si>
  <si>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</si>
  <si>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</si>
  <si>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</si>
  <si>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</si>
  <si>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</si>
  <si>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</si>
  <si>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</si>
  <si>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</si>
  <si>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</si>
  <si>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</si>
  <si>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</si>
  <si>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</si>
  <si>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</si>
  <si>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</si>
  <si>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</si>
  <si>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</si>
  <si>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</si>
  <si>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</si>
  <si>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</si>
  <si>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</si>
  <si>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</si>
  <si>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</si>
  <si>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</si>
  <si>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</si>
  <si>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</si>
  <si>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</si>
  <si>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</si>
  <si>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</si>
  <si>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</si>
  <si>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</si>
  <si>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</si>
  <si>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</si>
  <si>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</si>
  <si>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</si>
  <si>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</si>
  <si>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</si>
  <si>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</si>
  <si>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</si>
  <si>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</si>
  <si>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</si>
  <si>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</si>
  <si>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</si>
  <si>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</si>
  <si>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</si>
  <si>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</si>
  <si>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</si>
  <si>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</si>
  <si>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</si>
  <si>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</si>
  <si>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</si>
  <si>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</si>
  <si>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</si>
  <si>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</si>
  <si>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</si>
  <si>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</si>
  <si>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</si>
  <si>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</si>
  <si>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</si>
  <si>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</si>
  <si>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</si>
  <si>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</si>
  <si>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</si>
  <si>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</si>
  <si>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</si>
  <si>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</si>
  <si>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</si>
  <si>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</si>
  <si>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</si>
  <si>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</si>
  <si>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</si>
  <si>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</si>
  <si>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</si>
  <si>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</si>
  <si>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</si>
  <si>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</si>
  <si>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</si>
  <si>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</si>
  <si>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</si>
  <si>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</si>
  <si>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</si>
  <si>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</si>
  <si>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</si>
  <si>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</si>
  <si>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</si>
  <si>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</si>
  <si>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</si>
  <si>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</si>
  <si>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</si>
  <si>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</si>
  <si>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</si>
  <si>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</si>
  <si>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</si>
  <si>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</si>
  <si>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</si>
  <si>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</si>
  <si>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</si>
  <si>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</si>
  <si>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</si>
  <si>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</si>
  <si>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</si>
  <si>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</si>
  <si>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</si>
  <si>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</si>
  <si>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</si>
  <si>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</si>
  <si>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</si>
  <si>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</si>
  <si>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</si>
  <si>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</si>
  <si>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</si>
  <si>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</si>
  <si>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</si>
  <si>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</si>
  <si>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</si>
  <si>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</si>
  <si>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</si>
  <si>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</si>
  <si>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</si>
  <si>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</si>
  <si>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</si>
  <si>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</si>
  <si>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</si>
  <si>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</si>
  <si>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</si>
  <si>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</si>
  <si>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</si>
  <si>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</si>
  <si>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</si>
  <si>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</si>
  <si>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</si>
  <si>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</si>
  <si>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</si>
  <si>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</si>
  <si>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</si>
  <si>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</si>
  <si>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</si>
  <si>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</si>
  <si>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</si>
  <si>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</si>
  <si>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</si>
  <si>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</si>
  <si>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</si>
  <si>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</si>
  <si>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</si>
  <si>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</si>
  <si>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</si>
  <si>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</si>
  <si>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</si>
  <si>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</si>
  <si>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</si>
  <si>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</si>
  <si>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</si>
  <si>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</si>
  <si>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</si>
  <si>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</si>
  <si>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</si>
  <si>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</si>
  <si>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</si>
  <si>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</si>
  <si>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</si>
  <si>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</si>
  <si>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</si>
  <si>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</si>
  <si>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</si>
  <si>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</si>
  <si>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</si>
  <si>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</si>
  <si>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</si>
  <si>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</si>
  <si>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</si>
  <si>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</si>
  <si>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</si>
  <si>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</si>
  <si>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</si>
  <si>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</si>
  <si>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</si>
  <si>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</si>
  <si>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</si>
  <si>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</si>
  <si>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</si>
  <si>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</si>
  <si>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</si>
  <si>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</si>
  <si>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</si>
  <si>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</si>
  <si>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</si>
  <si>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</si>
  <si>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</si>
  <si>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</si>
  <si>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</si>
  <si>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</si>
  <si>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</si>
  <si>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</si>
  <si>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</si>
  <si>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</si>
  <si>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</si>
  <si>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</si>
  <si>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</si>
  <si>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</si>
  <si>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</si>
  <si>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</si>
  <si>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</si>
  <si>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</si>
  <si>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</si>
  <si>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</si>
  <si>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</si>
  <si>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</si>
  <si>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</si>
  <si>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</si>
  <si>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</si>
  <si>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</si>
  <si>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</si>
  <si>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</si>
  <si>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</si>
  <si>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</si>
  <si>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</si>
  <si>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</si>
  <si>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</si>
  <si>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</si>
  <si>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</si>
  <si>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</si>
  <si>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</si>
  <si>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</si>
  <si>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</si>
  <si>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</si>
  <si>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</si>
  <si>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</si>
  <si>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</si>
  <si>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</si>
  <si>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</si>
  <si>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</si>
  <si>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</si>
  <si>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</si>
  <si>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</si>
  <si>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</si>
  <si>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</si>
  <si>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</si>
  <si>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</si>
  <si>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</si>
  <si>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</si>
  <si>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</si>
  <si>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</si>
  <si>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</si>
  <si>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</si>
  <si>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</si>
  <si>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</si>
  <si>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</si>
  <si>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</si>
  <si>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</si>
  <si>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</si>
  <si>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</si>
  <si>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</si>
  <si>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</si>
  <si>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</si>
  <si>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</si>
  <si>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</si>
  <si>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</si>
  <si>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</si>
  <si>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</si>
  <si>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</si>
  <si>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</si>
  <si>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</si>
  <si>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</si>
  <si>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</si>
  <si>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</si>
  <si>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</si>
  <si>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</si>
  <si>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</si>
  <si>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</si>
  <si>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</si>
  <si>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</si>
  <si>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</si>
  <si>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</si>
  <si>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</si>
  <si>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</si>
  <si>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</si>
  <si>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</si>
  <si>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</si>
  <si>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</si>
  <si>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</si>
  <si>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</si>
  <si>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</si>
  <si>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</si>
  <si>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</si>
  <si>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</si>
  <si>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</si>
  <si>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</si>
  <si>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</si>
  <si>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</si>
  <si>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</si>
  <si>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</si>
  <si>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</si>
  <si>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</si>
  <si>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</si>
  <si>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</si>
  <si>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</si>
  <si>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</si>
  <si>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</si>
  <si>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</si>
  <si>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</si>
  <si>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</si>
  <si>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</si>
  <si>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</si>
  <si>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</si>
  <si>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</si>
  <si>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</si>
  <si>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</si>
  <si>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</si>
  <si>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</si>
  <si>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</si>
  <si>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</si>
  <si>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</si>
  <si>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</si>
  <si>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</si>
  <si>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</si>
  <si>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</si>
  <si>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</si>
  <si>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</si>
  <si>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</si>
  <si>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</si>
  <si>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</si>
  <si>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</si>
  <si>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</si>
  <si>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</si>
  <si>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</si>
  <si>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</si>
  <si>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</si>
  <si>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</si>
  <si>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</si>
  <si>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</si>
  <si>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</si>
  <si>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</si>
  <si>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</si>
  <si>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</si>
  <si>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</si>
  <si>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</si>
  <si>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</si>
  <si>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</si>
  <si>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</si>
  <si>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</si>
  <si>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</si>
  <si>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</si>
  <si>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</si>
  <si>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</si>
  <si>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</si>
  <si>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</si>
  <si>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</si>
  <si>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</si>
  <si>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</si>
  <si>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</si>
  <si>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</si>
  <si>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</si>
  <si>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</si>
  <si>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</si>
  <si>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</si>
  <si>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</si>
  <si>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</si>
  <si>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</si>
  <si>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</si>
  <si>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</si>
  <si>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</si>
  <si>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</si>
  <si>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</si>
  <si>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</si>
  <si>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</si>
  <si>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</si>
  <si>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</si>
  <si>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</si>
  <si>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</si>
  <si>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</si>
  <si>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</si>
  <si>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</si>
  <si>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</si>
  <si>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</si>
  <si>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</si>
  <si>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</si>
  <si>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</si>
  <si>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</si>
  <si>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</si>
  <si>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</si>
  <si>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</si>
  <si>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</si>
  <si>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</si>
  <si>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</si>
  <si>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</si>
  <si>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</si>
  <si>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</si>
  <si>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</si>
  <si>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</si>
  <si>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</si>
  <si>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</si>
  <si>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</si>
  <si>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</si>
  <si>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</si>
  <si>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</si>
  <si>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</si>
  <si>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</si>
  <si>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</si>
  <si>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</si>
  <si>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</si>
  <si>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</si>
  <si>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</si>
  <si>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</si>
  <si>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</si>
  <si>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</si>
  <si>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</si>
  <si>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</si>
  <si>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</si>
  <si>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</si>
  <si>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</si>
  <si>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</si>
  <si>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</si>
  <si>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</si>
  <si>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</si>
  <si>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</si>
  <si>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</si>
  <si>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</si>
  <si>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</si>
  <si>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</si>
  <si>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</si>
  <si>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</si>
  <si>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</si>
  <si>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</si>
  <si>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</si>
  <si>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</si>
  <si>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</si>
  <si>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</si>
  <si>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</si>
  <si>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</si>
  <si>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</si>
  <si>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</si>
  <si>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</si>
  <si>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</si>
  <si>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</si>
  <si>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</si>
  <si>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</si>
  <si>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</si>
  <si>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</si>
  <si>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</si>
  <si>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</si>
  <si>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</si>
  <si>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</si>
  <si>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</si>
  <si>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</si>
  <si>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</si>
  <si>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</si>
  <si>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</si>
  <si>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</si>
  <si>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</si>
  <si>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</si>
  <si>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</si>
  <si>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</si>
  <si>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</si>
  <si>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</si>
  <si>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</si>
  <si>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</si>
  <si>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</si>
  <si>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</si>
  <si>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</si>
  <si>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</si>
  <si>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</si>
  <si>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</si>
  <si>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</si>
  <si>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</si>
  <si>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</si>
  <si>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</si>
  <si>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</si>
  <si>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</si>
  <si>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</si>
  <si>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</si>
  <si>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</si>
  <si>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</si>
  <si>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</si>
  <si>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</si>
  <si>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</si>
  <si>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</si>
  <si>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</si>
  <si>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</si>
  <si>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</si>
  <si>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</si>
  <si>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</si>
  <si>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</si>
  <si>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</si>
  <si>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</si>
  <si>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</si>
  <si>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</si>
  <si>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</si>
  <si>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</si>
  <si>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</si>
  <si>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</si>
  <si>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</si>
  <si>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</si>
  <si>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</si>
  <si>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</si>
  <si>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</si>
  <si>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</si>
  <si>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</si>
  <si>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</si>
  <si>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</si>
  <si>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</si>
  <si>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</si>
  <si>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</si>
  <si>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</si>
  <si>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</si>
  <si>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</si>
  <si>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</si>
  <si>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</si>
  <si>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</si>
  <si>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</si>
  <si>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</si>
  <si>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</si>
  <si>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</si>
  <si>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</si>
  <si>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</si>
  <si>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</si>
  <si>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</si>
  <si>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</si>
  <si>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</si>
  <si>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</si>
  <si>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</si>
  <si>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</si>
  <si>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</si>
  <si>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</si>
  <si>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</si>
  <si>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</si>
  <si>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</si>
  <si>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</si>
  <si>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</si>
  <si>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</si>
  <si>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</si>
  <si>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</si>
  <si>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</si>
  <si>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</si>
  <si>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</si>
  <si>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</si>
  <si>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</si>
  <si>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</si>
  <si>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</si>
  <si>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</si>
  <si>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</si>
  <si>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</si>
  <si>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</si>
  <si>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</si>
  <si>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</si>
  <si>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</si>
  <si>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</si>
  <si>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</si>
  <si>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</si>
  <si>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</si>
  <si>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</si>
  <si>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</si>
  <si>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</si>
  <si>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</si>
  <si>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</si>
  <si>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</si>
  <si>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</si>
  <si>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</si>
  <si>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</si>
  <si>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</si>
  <si>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</si>
  <si>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</si>
  <si>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</si>
  <si>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</si>
  <si>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</si>
  <si>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</si>
  <si>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</si>
  <si>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</si>
  <si>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</si>
  <si>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</si>
  <si>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</si>
  <si>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</si>
  <si>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</si>
  <si>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</si>
  <si>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</si>
  <si>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</si>
  <si>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</si>
  <si>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</si>
  <si>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</si>
  <si>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</si>
  <si>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</si>
  <si>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</si>
  <si>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</si>
  <si>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</si>
  <si>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</si>
  <si>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</si>
  <si>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</si>
  <si>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</si>
  <si>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</si>
  <si>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</si>
  <si>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</si>
  <si>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</si>
  <si>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</si>
  <si>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</si>
  <si>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</si>
  <si>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</si>
  <si>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</si>
  <si>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</si>
  <si>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</si>
  <si>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</si>
  <si>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</si>
  <si>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</si>
  <si>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</si>
  <si>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</si>
  <si>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</si>
  <si>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</si>
  <si>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</si>
  <si>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</si>
  <si>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</si>
  <si>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</si>
  <si>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</si>
  <si>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</si>
  <si>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</si>
  <si>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</si>
  <si>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</si>
  <si>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</si>
  <si>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</si>
  <si>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LURI</t>
  </si>
  <si>
    <t xml:space="preserve">Luri</t>
  </si>
  <si>
    <t xml:space="preserve">06300200</t>
  </si>
  <si>
    <t xml:space="preserve">7178d - RCS Corse 2015</t>
  </si>
  <si>
    <t xml:space="preserve">radier</t>
  </si>
  <si>
    <t xml:space="preserve">pl. lent</t>
  </si>
  <si>
    <t xml:space="preserve">faible</t>
  </si>
  <si>
    <t xml:space="preserve">abondant</t>
  </si>
  <si>
    <t xml:space="preserve">Cf.</t>
  </si>
  <si>
    <t xml:space="preserve">NEWCOD</t>
  </si>
  <si>
    <t xml:space="preserve">Cyperus involucratus</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</si>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</sst>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A11" activeCellId="0" sqref="AA1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13.9189189189189</v>
      </c>
      <c r="N5" s="352"/>
      <c r="O5" s="353"/>
      <c r="P5" s="354"/>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c r="P6" s="366"/>
      <c r="Q6" s="367"/>
      <c r="R6" s="309"/>
      <c r="S6" s="309"/>
      <c r="T6" s="309"/>
      <c r="U6" s="309"/>
      <c r="V6" s="309"/>
      <c r="W6" s="323"/>
    </row>
    <row r="7" customFormat="false" ht="12.75" hidden="false" customHeight="false" outlineLevel="0" collapsed="false">
      <c r="A7" s="368" t="s">
        <v>3388</v>
      </c>
      <c r="B7" s="369" t="n">
        <v>43</v>
      </c>
      <c r="C7" s="370" t="n">
        <v>57</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12.2666666666667</v>
      </c>
      <c r="P8" s="384" t="n">
        <f aca="false">IF(ISERROR(AVERAGE(K23:K82)),"  ",AVERAGE(K23:K82))</f>
        <v>1.6</v>
      </c>
      <c r="Q8" s="385"/>
      <c r="R8" s="309"/>
      <c r="S8" s="309"/>
      <c r="T8" s="309"/>
      <c r="U8" s="309"/>
      <c r="V8" s="309"/>
      <c r="W8" s="323"/>
    </row>
    <row r="9" customFormat="false" ht="12.75" hidden="false" customHeight="false" outlineLevel="0" collapsed="false">
      <c r="A9" s="342" t="s">
        <v>3394</v>
      </c>
      <c r="B9" s="386" t="n">
        <v>2.9</v>
      </c>
      <c r="C9" s="387" t="n">
        <v>4.1</v>
      </c>
      <c r="D9" s="388"/>
      <c r="E9" s="388"/>
      <c r="F9" s="389" t="n">
        <f aca="false">($B9*$B$7+$C9*$C$7)/100</f>
        <v>3.584</v>
      </c>
      <c r="G9" s="390"/>
      <c r="H9" s="345"/>
      <c r="I9" s="309"/>
      <c r="J9" s="391"/>
      <c r="K9" s="392"/>
      <c r="L9" s="375"/>
      <c r="M9" s="393"/>
      <c r="N9" s="383" t="s">
        <v>3395</v>
      </c>
      <c r="O9" s="384" t="n">
        <f aca="false">IF(ISERROR(STDEVP(J23:J82))," ",STDEVP(J23:J82))</f>
        <v>3.33599893418581</v>
      </c>
      <c r="P9" s="384" t="n">
        <f aca="false">IF(ISERROR(STDEVP(K23:K82)),"  ",STDEVP(K23:K82))</f>
        <v>0.711805216802088</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21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15</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5</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5</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0.761904761904762</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2.865</v>
      </c>
      <c r="C20" s="461" t="n">
        <f aca="false">SUM(C23:C62)</f>
        <v>4.095</v>
      </c>
      <c r="D20" s="462"/>
      <c r="E20" s="463" t="s">
        <v>3419</v>
      </c>
      <c r="F20" s="464" t="n">
        <f aca="false">($B20*$B$7+$C20*$C$7)/100</f>
        <v>3.5661</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1.23195</v>
      </c>
      <c r="C21" s="472" t="n">
        <f aca="false">C20*C7/100</f>
        <v>2.33415</v>
      </c>
      <c r="D21" s="473" t="s">
        <v>3422</v>
      </c>
      <c r="E21" s="474"/>
      <c r="F21" s="475" t="n">
        <f aca="false">B21+C21</f>
        <v>3.5661</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63</v>
      </c>
      <c r="B23" s="501"/>
      <c r="C23" s="502" t="n">
        <v>0.25</v>
      </c>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0.1425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0.1425</v>
      </c>
      <c r="S23" s="514" t="n">
        <f aca="false">IF(OR(ISTEXT(H23),R23=0),"",IF(R23&lt;0.1,1,IF(R23&lt;1,2,IF(R23&lt;10,3,IF(R23&lt;50,4,IF(R23&gt;=50,5,""))))))</f>
        <v>2</v>
      </c>
      <c r="T23" s="514" t="n">
        <f aca="false">IF(ISERROR(S23*J23),0,S23*J23)</f>
        <v>32</v>
      </c>
      <c r="U23" s="514" t="n">
        <f aca="false">IF(ISERROR(S23*J23*K23),0,S23*J23*K23)</f>
        <v>64</v>
      </c>
      <c r="V23" s="514" t="n">
        <f aca="false">IF(ISERROR(S23*K23),0,S23*K23)</f>
        <v>4</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132</v>
      </c>
      <c r="B24" s="519" t="n">
        <v>0.005</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0.00215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0.00215</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156</v>
      </c>
      <c r="B25" s="519"/>
      <c r="C25" s="520" t="n">
        <v>0.25</v>
      </c>
      <c r="D25" s="521" t="str">
        <f aca="false">IF(ISERROR(VLOOKUP($A25,'liste reference'!$A$6:$B$1174,2,0)),IF(ISERROR(VLOOKUP($A25,'liste reference'!$B$6:$B$1174,1,0)),"",VLOOKUP($A25,'liste reference'!$B$6:$B$1174,1,0)),VLOOKUP($A25,'liste reference'!$A$6:$B$1174,2,0))</f>
        <v>Draparnaldia sp.</v>
      </c>
      <c r="E25" s="522" t="e">
        <f aca="false">IF(D25="",0,VLOOKUP(D25,D$22:D24,1,0))</f>
        <v>#N/A</v>
      </c>
      <c r="F25" s="523" t="n">
        <f aca="false">IF(AND(OR(A25="",A25="!!!!!!"),B25="",C25=""),"",IF(OR(AND(B25="",C25=""),ISERROR(C25+B25)),"!!!",($B25*$B$7+$C25*$C$7)/100))</f>
        <v>0.1425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18</v>
      </c>
      <c r="K25" s="526" t="n">
        <f aca="false">IF(ISNUMBER($H25),IF(ISERROR(VLOOKUP($A25,'liste reference'!$A$6:$Q$1174,7,0)),IF(ISERROR(VLOOKUP($A25,'liste reference'!$B$6:$Q$1174,6,0)),"nu",VLOOKUP($A25,'liste reference'!$B$6:$Q$1174,6,0)),VLOOKUP($A25,'liste reference'!$A$6:$Q$1174,7,0)),"nu")</f>
        <v>3</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Draparnaldia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1118</v>
      </c>
      <c r="R25" s="513" t="n">
        <f aca="false">IF(ISTEXT(H25),"",(B25*$B$7/100)+(C25*$C$7/100))</f>
        <v>0.1425</v>
      </c>
      <c r="S25" s="514" t="n">
        <f aca="false">IF(OR(ISTEXT(H25),R25=0),"",IF(R25&lt;0.1,1,IF(R25&lt;1,2,IF(R25&lt;10,3,IF(R25&lt;50,4,IF(R25&gt;=50,5,""))))))</f>
        <v>2</v>
      </c>
      <c r="T25" s="514" t="n">
        <f aca="false">IF(ISERROR(S25*J25),0,S25*J25)</f>
        <v>36</v>
      </c>
      <c r="U25" s="514" t="n">
        <f aca="false">IF(ISERROR(S25*J25*K25),0,S25*J25*K25)</f>
        <v>108</v>
      </c>
      <c r="V25" s="530" t="n">
        <f aca="false">IF(ISERROR(S25*K25),0,S25*K25)</f>
        <v>6</v>
      </c>
      <c r="W25" s="531"/>
      <c r="X25" s="532"/>
      <c r="Y25" s="517" t="str">
        <f aca="false">IF(AND(ISNUMBER(F25),OR(A25="",A25="!!!!!!")),"!!!!!!",IF(A25="new.cod","NEWCOD",IF(AND((Z25=""),ISTEXT(A25),A25&lt;&gt;"!!!!!!"),A25,IF(Z25="","",INDEX('liste reference'!$A$6:$A$1174,Z25)))))</f>
        <v>DRASPX</v>
      </c>
      <c r="Z25" s="499" t="n">
        <f aca="false">IF(ISERROR(MATCH(A25,'liste reference'!$A$6:$A$1174,0)),IF(ISERROR(MATCH(A25,'liste reference'!$B$6:$B$1174,0)),"",(MATCH(A25,'liste reference'!$B$6:$B$1174,0))),(MATCH(A25,'liste reference'!$A$6:$A$1174,0)))</f>
        <v>42</v>
      </c>
    </row>
    <row r="26" customFormat="false" ht="12.75" hidden="false" customHeight="false" outlineLevel="0" collapsed="false">
      <c r="A26" s="518" t="s">
        <v>193</v>
      </c>
      <c r="B26" s="519" t="n">
        <v>2.5</v>
      </c>
      <c r="C26" s="520" t="n">
        <v>2</v>
      </c>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2.215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2.215</v>
      </c>
      <c r="S26" s="514" t="n">
        <f aca="false">IF(OR(ISTEXT(H26),R26=0),"",IF(R26&lt;0.1,1,IF(R26&lt;1,2,IF(R26&lt;10,3,IF(R26&lt;50,4,IF(R26&gt;=50,5,""))))))</f>
        <v>3</v>
      </c>
      <c r="T26" s="514" t="n">
        <f aca="false">IF(ISERROR(S26*J26),0,S26*J26)</f>
        <v>45</v>
      </c>
      <c r="U26" s="514" t="n">
        <f aca="false">IF(ISERROR(S26*J26*K26),0,S26*J26*K26)</f>
        <v>90</v>
      </c>
      <c r="V26" s="530" t="n">
        <f aca="false">IF(ISERROR(S26*K26),0,S26*K26)</f>
        <v>6</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215</v>
      </c>
      <c r="B27" s="519" t="n">
        <v>0.005</v>
      </c>
      <c r="C27" s="520"/>
      <c r="D27" s="521" t="str">
        <f aca="false">IF(ISERROR(VLOOKUP($A27,'liste reference'!$A$6:$B$1174,2,0)),IF(ISERROR(VLOOKUP($A27,'liste reference'!$B$6:$B$1174,1,0)),"",VLOOKUP($A27,'liste reference'!$B$6:$B$1174,1,0)),VLOOKUP($A27,'liste reference'!$A$6:$B$1174,2,0))</f>
        <v>Lemanea sp.</v>
      </c>
      <c r="E27" s="522" t="e">
        <f aca="false">IF(D27="",0,VLOOKUP(D27,D$22:D26,1,0))</f>
        <v>#N/A</v>
      </c>
      <c r="F27" s="523" t="n">
        <f aca="false">IF(AND(OR(A27="",A27="!!!!!!"),B27="",C27=""),"",IF(OR(AND(B27="",C27=""),ISERROR(C27+B27)),"!!!",($B27*$B$7+$C27*$C$7)/100))</f>
        <v>0.00215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Lemanea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1159</v>
      </c>
      <c r="R27" s="513" t="n">
        <f aca="false">IF(ISTEXT(H27),"",(B27*$B$7/100)+(C27*$C$7/100))</f>
        <v>0.00215</v>
      </c>
      <c r="S27" s="514" t="n">
        <f aca="false">IF(OR(ISTEXT(H27),R27=0),"",IF(R27&lt;0.1,1,IF(R27&lt;1,2,IF(R27&lt;10,3,IF(R27&lt;50,4,IF(R27&gt;=50,5,""))))))</f>
        <v>1</v>
      </c>
      <c r="T27" s="514" t="n">
        <f aca="false">IF(ISERROR(S27*J27),0,S27*J27)</f>
        <v>15</v>
      </c>
      <c r="U27" s="514" t="n">
        <f aca="false">IF(ISERROR(S27*J27*K27),0,S27*J27*K27)</f>
        <v>30</v>
      </c>
      <c r="V27" s="530" t="n">
        <f aca="false">IF(ISERROR(S27*K27),0,S27*K27)</f>
        <v>2</v>
      </c>
      <c r="W27" s="531"/>
      <c r="X27" s="532"/>
      <c r="Y27" s="517" t="str">
        <f aca="false">IF(AND(ISNUMBER(F27),OR(A27="",A27="!!!!!!")),"!!!!!!",IF(A27="new.cod","NEWCOD",IF(AND((Z27=""),ISTEXT(A27),A27&lt;&gt;"!!!!!!"),A27,IF(Z27="","",INDEX('liste reference'!$A$6:$A$1174,Z27)))))</f>
        <v>LEASPX</v>
      </c>
      <c r="Z27" s="499" t="n">
        <f aca="false">IF(ISERROR(MATCH(A27,'liste reference'!$A$6:$A$1174,0)),IF(ISERROR(MATCH(A27,'liste reference'!$B$6:$B$1174,0)),"",(MATCH(A27,'liste reference'!$B$6:$B$1174,0))),(MATCH(A27,'liste reference'!$A$6:$A$1174,0)))</f>
        <v>59</v>
      </c>
    </row>
    <row r="28" customFormat="false" ht="12.75" hidden="false" customHeight="false" outlineLevel="0" collapsed="false">
      <c r="A28" s="518" t="s">
        <v>226</v>
      </c>
      <c r="B28" s="519"/>
      <c r="C28" s="520" t="n">
        <v>0.2</v>
      </c>
      <c r="D28" s="521" t="str">
        <f aca="false">IF(ISERROR(VLOOKUP($A28,'liste reference'!$A$6:$B$1174,2,0)),IF(ISERROR(VLOOKUP($A28,'liste reference'!$B$6:$B$1174,1,0)),"",VLOOKUP($A28,'liste reference'!$B$6:$B$1174,1,0)),VLOOKUP($A28,'liste reference'!$A$6:$B$1174,2,0))</f>
        <v>Melosira sp.</v>
      </c>
      <c r="E28" s="522" t="e">
        <f aca="false">IF(D28="",0,VLOOKUP(D28,D$22:D27,1,0))</f>
        <v>#N/A</v>
      </c>
      <c r="F28" s="523" t="n">
        <f aca="false">IF(AND(OR(A28="",A28="!!!!!!"),B28="",C28=""),"",IF(OR(AND(B28="",C28=""),ISERROR(C28+B28)),"!!!",($B28*$B$7+$C28*$C$7)/100))</f>
        <v>0.114</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Melosira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8714</v>
      </c>
      <c r="R28" s="513" t="n">
        <f aca="false">IF(ISTEXT(H28),"",(B28*$B$7/100)+(C28*$C$7/100))</f>
        <v>0.114</v>
      </c>
      <c r="S28" s="514" t="n">
        <f aca="false">IF(OR(ISTEXT(H28),R28=0),"",IF(R28&lt;0.1,1,IF(R28&lt;1,2,IF(R28&lt;10,3,IF(R28&lt;50,4,IF(R28&gt;=50,5,""))))))</f>
        <v>2</v>
      </c>
      <c r="T28" s="514" t="n">
        <f aca="false">IF(ISERROR(S28*J28),0,S28*J28)</f>
        <v>20</v>
      </c>
      <c r="U28" s="514" t="n">
        <f aca="false">IF(ISERROR(S28*J28*K28),0,S28*J28*K28)</f>
        <v>20</v>
      </c>
      <c r="V28" s="530" t="n">
        <f aca="false">IF(ISERROR(S28*K28),0,S28*K28)</f>
        <v>2</v>
      </c>
      <c r="W28" s="531"/>
      <c r="X28" s="532"/>
      <c r="Y28" s="517" t="str">
        <f aca="false">IF(AND(ISNUMBER(F28),OR(A28="",A28="!!!!!!")),"!!!!!!",IF(A28="new.cod","NEWCOD",IF(AND((Z28=""),ISTEXT(A28),A28&lt;&gt;"!!!!!!"),A28,IF(Z28="","",INDEX('liste reference'!$A$6:$A$1174,Z28)))))</f>
        <v>MELSPX</v>
      </c>
      <c r="Z28" s="499" t="n">
        <f aca="false">IF(ISERROR(MATCH(A28,'liste reference'!$A$6:$A$1174,0)),IF(ISERROR(MATCH(A28,'liste reference'!$B$6:$B$1174,0)),"",(MATCH(A28,'liste reference'!$B$6:$B$1174,0))),(MATCH(A28,'liste reference'!$A$6:$A$1174,0)))</f>
        <v>62</v>
      </c>
    </row>
    <row r="29" customFormat="false" ht="12.75" hidden="false" customHeight="false" outlineLevel="0" collapsed="false">
      <c r="A29" s="518" t="s">
        <v>237</v>
      </c>
      <c r="B29" s="519"/>
      <c r="C29" s="520" t="n">
        <v>1</v>
      </c>
      <c r="D29" s="521" t="str">
        <f aca="false">IF(ISERROR(VLOOKUP($A29,'liste reference'!$A$6:$B$1174,2,0)),IF(ISERROR(VLOOKUP($A29,'liste reference'!$B$6:$B$1174,1,0)),"",VLOOKUP($A29,'liste reference'!$B$6:$B$1174,1,0)),VLOOKUP($A29,'liste reference'!$A$6:$B$1174,2,0))</f>
        <v>Microspora sp.</v>
      </c>
      <c r="E29" s="522" t="e">
        <f aca="false">IF(D29="",0,VLOOKUP(D29,D$22:D28,1,0))</f>
        <v>#N/A</v>
      </c>
      <c r="F29" s="523" t="n">
        <f aca="false">IF(AND(OR(A29="",A29="!!!!!!"),B29="",C29=""),"",IF(OR(AND(B29="",C29=""),ISERROR(C29+B29)),"!!!",($B29*$B$7+$C29*$C$7)/100))</f>
        <v>0.57</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Microspora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1132</v>
      </c>
      <c r="R29" s="513" t="n">
        <f aca="false">IF(ISTEXT(H29),"",(B29*$B$7/100)+(C29*$C$7/100))</f>
        <v>0.57</v>
      </c>
      <c r="S29" s="514" t="n">
        <f aca="false">IF(OR(ISTEXT(H29),R29=0),"",IF(R29&lt;0.1,1,IF(R29&lt;1,2,IF(R29&lt;10,3,IF(R29&lt;50,4,IF(R29&gt;=50,5,""))))))</f>
        <v>2</v>
      </c>
      <c r="T29" s="514" t="n">
        <f aca="false">IF(ISERROR(S29*J29),0,S29*J29)</f>
        <v>24</v>
      </c>
      <c r="U29" s="514" t="n">
        <f aca="false">IF(ISERROR(S29*J29*K29),0,S29*J29*K29)</f>
        <v>48</v>
      </c>
      <c r="V29" s="530" t="n">
        <f aca="false">IF(ISERROR(S29*K29),0,S29*K29)</f>
        <v>4</v>
      </c>
      <c r="W29" s="531"/>
      <c r="X29" s="532"/>
      <c r="Y29" s="517" t="str">
        <f aca="false">IF(AND(ISNUMBER(F29),OR(A29="",A29="!!!!!!")),"!!!!!!",IF(A29="new.cod","NEWCOD",IF(AND((Z29=""),ISTEXT(A29),A29&lt;&gt;"!!!!!!"),A29,IF(Z29="","",INDEX('liste reference'!$A$6:$A$1174,Z29)))))</f>
        <v>MICSPX</v>
      </c>
      <c r="Z29" s="499" t="n">
        <f aca="false">IF(ISERROR(MATCH(A29,'liste reference'!$A$6:$A$1174,0)),IF(ISERROR(MATCH(A29,'liste reference'!$B$6:$B$1174,0)),"",(MATCH(A29,'liste reference'!$B$6:$B$1174,0))),(MATCH(A29,'liste reference'!$A$6:$A$1174,0)))</f>
        <v>66</v>
      </c>
    </row>
    <row r="30" customFormat="false" ht="12.75" hidden="false" customHeight="false" outlineLevel="0" collapsed="false">
      <c r="A30" s="518" t="s">
        <v>289</v>
      </c>
      <c r="B30" s="519" t="n">
        <v>0.005</v>
      </c>
      <c r="C30" s="520"/>
      <c r="D30" s="521" t="str">
        <f aca="false">IF(ISERROR(VLOOKUP($A30,'liste reference'!$A$6:$B$1174,2,0)),IF(ISERROR(VLOOKUP($A30,'liste reference'!$B$6:$B$1174,1,0)),"",VLOOKUP($A30,'liste reference'!$B$6:$B$1174,1,0)),VLOOKUP($A30,'liste reference'!$A$6:$B$1174,2,0))</f>
        <v>Nostoc sp.</v>
      </c>
      <c r="E30" s="522" t="e">
        <f aca="false">IF(D30="",0,VLOOKUP(D30,D$22:D29,1,0))</f>
        <v>#N/A</v>
      </c>
      <c r="F30" s="523" t="n">
        <f aca="false">IF(AND(OR(A30="",A30="!!!!!!"),B30="",C30=""),"",IF(OR(AND(B30="",C30=""),ISERROR(C30+B30)),"!!!",($B30*$B$7+$C30*$C$7)/100))</f>
        <v>0.00215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9</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Nostoc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1105</v>
      </c>
      <c r="R30" s="513" t="n">
        <f aca="false">IF(ISTEXT(H30),"",(B30*$B$7/100)+(C30*$C$7/100))</f>
        <v>0.00215</v>
      </c>
      <c r="S30" s="514" t="n">
        <f aca="false">IF(OR(ISTEXT(H30),R30=0),"",IF(R30&lt;0.1,1,IF(R30&lt;1,2,IF(R30&lt;10,3,IF(R30&lt;50,4,IF(R30&gt;=50,5,""))))))</f>
        <v>1</v>
      </c>
      <c r="T30" s="514" t="n">
        <f aca="false">IF(ISERROR(S30*J30),0,S30*J30)</f>
        <v>9</v>
      </c>
      <c r="U30" s="514" t="n">
        <f aca="false">IF(ISERROR(S30*J30*K30),0,S30*J30*K30)</f>
        <v>9</v>
      </c>
      <c r="V30" s="530" t="n">
        <f aca="false">IF(ISERROR(S30*K30),0,S30*K30)</f>
        <v>1</v>
      </c>
      <c r="W30" s="531"/>
      <c r="X30" s="532"/>
      <c r="Y30" s="517" t="str">
        <f aca="false">IF(AND(ISNUMBER(F30),OR(A30="",A30="!!!!!!")),"!!!!!!",IF(A30="new.cod","NEWCOD",IF(AND((Z30=""),ISTEXT(A30),A30&lt;&gt;"!!!!!!"),A30,IF(Z30="","",INDEX('liste reference'!$A$6:$A$1174,Z30)))))</f>
        <v>NOSSPX</v>
      </c>
      <c r="Z30" s="499" t="n">
        <f aca="false">IF(ISERROR(MATCH(A30,'liste reference'!$A$6:$A$1174,0)),IF(ISERROR(MATCH(A30,'liste reference'!$B$6:$B$1174,0)),"",(MATCH(A30,'liste reference'!$B$6:$B$1174,0))),(MATCH(A30,'liste reference'!$A$6:$A$1174,0)))</f>
        <v>84</v>
      </c>
    </row>
    <row r="31" customFormat="false" ht="12.75" hidden="false" customHeight="false" outlineLevel="0" collapsed="false">
      <c r="A31" s="518" t="s">
        <v>383</v>
      </c>
      <c r="B31" s="519"/>
      <c r="C31" s="520" t="n">
        <v>0.005</v>
      </c>
      <c r="D31" s="521" t="str">
        <f aca="false">IF(ISERROR(VLOOKUP($A31,'liste reference'!$A$6:$B$1174,2,0)),IF(ISERROR(VLOOKUP($A31,'liste reference'!$B$6:$B$1174,1,0)),"",VLOOKUP($A31,'liste reference'!$B$6:$B$1174,1,0)),VLOOKUP($A31,'liste reference'!$A$6:$B$1174,2,0))</f>
        <v>Ulothrix sp.</v>
      </c>
      <c r="E31" s="522" t="e">
        <f aca="false">IF(D31="",0,VLOOKUP(D31,D$22:D30,1,0))</f>
        <v>#N/A</v>
      </c>
      <c r="F31" s="523" t="n">
        <f aca="false">IF(AND(OR(A31="",A31="!!!!!!"),B31="",C31=""),"",IF(OR(AND(B31="",C31=""),ISERROR(C31+B31)),"!!!",($B31*$B$7+$C31*$C$7)/100))</f>
        <v>0.00285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Ulothrix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1142</v>
      </c>
      <c r="R31" s="513" t="n">
        <f aca="false">IF(ISTEXT(H31),"",(B31*$B$7/100)+(C31*$C$7/100))</f>
        <v>0.00285</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ULOSPX</v>
      </c>
      <c r="Z31" s="499" t="n">
        <f aca="false">IF(ISERROR(MATCH(A31,'liste reference'!$A$6:$A$1174,0)),IF(ISERROR(MATCH(A31,'liste reference'!$B$6:$B$1174,0)),"",(MATCH(A31,'liste reference'!$B$6:$B$1174,0))),(MATCH(A31,'liste reference'!$A$6:$A$1174,0)))</f>
        <v>116</v>
      </c>
    </row>
    <row r="32" customFormat="false" ht="12.75" hidden="false" customHeight="false" outlineLevel="0" collapsed="false">
      <c r="A32" s="518" t="s">
        <v>469</v>
      </c>
      <c r="B32" s="519" t="n">
        <v>0.03</v>
      </c>
      <c r="C32" s="520"/>
      <c r="D32" s="521" t="str">
        <f aca="false">IF(ISERROR(VLOOKUP($A32,'liste reference'!$A$6:$B$1174,2,0)),IF(ISERROR(VLOOKUP($A32,'liste reference'!$B$6:$B$1174,1,0)),"",VLOOKUP($A32,'liste reference'!$B$6:$B$1174,1,0)),VLOOKUP($A32,'liste reference'!$A$6:$B$1174,2,0))</f>
        <v>Jungermannia exsertifolia</v>
      </c>
      <c r="E32" s="522" t="e">
        <f aca="false">IF(D32="",0,VLOOKUP(D32,D$22:D31,1,0))</f>
        <v>#N/A</v>
      </c>
      <c r="F32" s="523" t="n">
        <f aca="false">IF(AND(OR(A32="",A32="!!!!!!"),B32="",C32=""),"",IF(OR(AND(B32="",C32=""),ISERROR(C32+B32)),"!!!",($B32*$B$7+$C32*$C$7)/100))</f>
        <v>0.0129</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Jungermannia exsertifolia</v>
      </c>
      <c r="M32" s="527"/>
      <c r="N32" s="527"/>
      <c r="O32" s="527"/>
      <c r="P32" s="528" t="s">
        <v>3462</v>
      </c>
      <c r="Q32" s="529" t="n">
        <f aca="false">IF(OR($A32="NEWCOD",$A32="!!!!!!"),IF(X32="","NoCod",X32),IF($A32="","",IF(ISERROR(VLOOKUP($A32,'liste reference'!$A$6:$H$1174,8,FALSE())),IF(ISERROR(VLOOKUP($A32,'liste reference'!$B$6:$H$1174,7,FALSE())),"",VLOOKUP($A32,'liste reference'!$B$6:$H$1174,7,FALSE())),VLOOKUP($A32,'liste reference'!$A$6:$H$1174,8,FALSE()))))</f>
        <v>19821</v>
      </c>
      <c r="R32" s="513" t="n">
        <f aca="false">IF(ISTEXT(H32),"",(B32*$B$7/100)+(C32*$C$7/100))</f>
        <v>0.0129</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JUGEXS</v>
      </c>
      <c r="Z32" s="499" t="n">
        <f aca="false">IF(ISERROR(MATCH(A32,'liste reference'!$A$6:$A$1174,0)),IF(ISERROR(MATCH(A32,'liste reference'!$B$6:$B$1174,0)),"",(MATCH(A32,'liste reference'!$B$6:$B$1174,0))),(MATCH(A32,'liste reference'!$A$6:$A$1174,0)))</f>
        <v>143</v>
      </c>
    </row>
    <row r="33" customFormat="false" ht="12.75" hidden="false" customHeight="false" outlineLevel="0" collapsed="false">
      <c r="A33" s="518" t="s">
        <v>546</v>
      </c>
      <c r="B33" s="519" t="n">
        <v>0.05</v>
      </c>
      <c r="C33" s="520"/>
      <c r="D33" s="521" t="str">
        <f aca="false">IF(ISERROR(VLOOKUP($A33,'liste reference'!$A$6:$B$1174,2,0)),IF(ISERROR(VLOOKUP($A33,'liste reference'!$B$6:$B$1174,1,0)),"",VLOOKUP($A33,'liste reference'!$B$6:$B$1174,1,0)),VLOOKUP($A33,'liste reference'!$A$6:$B$1174,2,0))</f>
        <v>Pellia endiviifolia</v>
      </c>
      <c r="E33" s="522" t="e">
        <f aca="false">IF(D33="",0,VLOOKUP(D33,D$22:D32,1,0))</f>
        <v>#N/A</v>
      </c>
      <c r="F33" s="523" t="n">
        <f aca="false">IF(AND(OR(A33="",A33="!!!!!!"),B33="",C33=""),"",IF(OR(AND(B33="",C33=""),ISERROR(C33+B33)),"!!!",($B33*$B$7+$C33*$C$7)/100))</f>
        <v>0.0215</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Pellia endiviifolia</v>
      </c>
      <c r="M33" s="527"/>
      <c r="N33" s="527"/>
      <c r="O33" s="527"/>
      <c r="P33" s="528" t="s">
        <v>3462</v>
      </c>
      <c r="Q33" s="529" t="n">
        <f aca="false">IF(OR($A33="NEWCOD",$A33="!!!!!!"),IF(X33="","NoCod",X33),IF($A33="","",IF(ISERROR(VLOOKUP($A33,'liste reference'!$A$6:$H$1174,8,FALSE())),IF(ISERROR(VLOOKUP($A33,'liste reference'!$B$6:$H$1174,7,FALSE())),"",VLOOKUP($A33,'liste reference'!$B$6:$H$1174,7,FALSE())),VLOOKUP($A33,'liste reference'!$A$6:$H$1174,8,FALSE()))))</f>
        <v>1197</v>
      </c>
      <c r="R33" s="513" t="n">
        <f aca="false">IF(ISTEXT(H33),"",(B33*$B$7/100)+(C33*$C$7/100))</f>
        <v>0.0215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PELEND</v>
      </c>
      <c r="Z33" s="499" t="n">
        <f aca="false">IF(ISERROR(MATCH(A33,'liste reference'!$A$6:$A$1174,0)),IF(ISERROR(MATCH(A33,'liste reference'!$B$6:$B$1174,0)),"",(MATCH(A33,'liste reference'!$B$6:$B$1174,0))),(MATCH(A33,'liste reference'!$A$6:$A$1174,0)))</f>
        <v>167</v>
      </c>
    </row>
    <row r="34" customFormat="false" ht="12.75" hidden="false" customHeight="false" outlineLevel="0" collapsed="false">
      <c r="A34" s="518" t="s">
        <v>721</v>
      </c>
      <c r="B34" s="519"/>
      <c r="C34" s="520" t="n">
        <v>0.005</v>
      </c>
      <c r="D34" s="521" t="str">
        <f aca="false">IF(ISERROR(VLOOKUP($A34,'liste reference'!$A$6:$B$1174,2,0)),IF(ISERROR(VLOOKUP($A34,'liste reference'!$B$6:$B$1174,1,0)),"",VLOOKUP($A34,'liste reference'!$B$6:$B$1174,1,0)),VLOOKUP($A34,'liste reference'!$A$6:$B$1174,2,0))</f>
        <v>Cratoneuron filicinum</v>
      </c>
      <c r="E34" s="522" t="e">
        <f aca="false">IF(D34="",0,VLOOKUP(D34,D$22:D33,1,0))</f>
        <v>#N/A</v>
      </c>
      <c r="F34" s="523" t="n">
        <f aca="false">IF(AND(OR(A34="",A34="!!!!!!"),B34="",C34=""),"",IF(OR(AND(B34="",C34=""),ISERROR(C34+B34)),"!!!",($B34*$B$7+$C34*$C$7)/100))</f>
        <v>0.00285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18</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Cratoneuron filicinum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1233</v>
      </c>
      <c r="R34" s="513" t="n">
        <f aca="false">IF(ISTEXT(H34),"",(B34*$B$7/100)+(C34*$C$7/100))</f>
        <v>0.00285</v>
      </c>
      <c r="S34" s="514" t="n">
        <f aca="false">IF(OR(ISTEXT(H34),R34=0),"",IF(R34&lt;0.1,1,IF(R34&lt;1,2,IF(R34&lt;10,3,IF(R34&lt;50,4,IF(R34&gt;=50,5,""))))))</f>
        <v>1</v>
      </c>
      <c r="T34" s="514" t="n">
        <f aca="false">IF(ISERROR(S34*J34),0,S34*J34)</f>
        <v>18</v>
      </c>
      <c r="U34" s="514" t="n">
        <f aca="false">IF(ISERROR(S34*J34*K34),0,S34*J34*K34)</f>
        <v>54</v>
      </c>
      <c r="V34" s="530" t="n">
        <f aca="false">IF(ISERROR(S34*K34),0,S34*K34)</f>
        <v>3</v>
      </c>
      <c r="W34" s="531"/>
      <c r="X34" s="532"/>
      <c r="Y34" s="517" t="str">
        <f aca="false">IF(AND(ISNUMBER(F34),OR(A34="",A34="!!!!!!")),"!!!!!!",IF(A34="new.cod","NEWCOD",IF(AND((Z34=""),ISTEXT(A34),A34&lt;&gt;"!!!!!!"),A34,IF(Z34="","",INDEX('liste reference'!$A$6:$A$1174,Z34)))))</f>
        <v>CRAFIL</v>
      </c>
      <c r="Z34" s="499" t="n">
        <f aca="false">IF(ISERROR(MATCH(A34,'liste reference'!$A$6:$A$1174,0)),IF(ISERROR(MATCH(A34,'liste reference'!$B$6:$B$1174,0)),"",(MATCH(A34,'liste reference'!$B$6:$B$1174,0))),(MATCH(A34,'liste reference'!$A$6:$A$1174,0)))</f>
        <v>227</v>
      </c>
    </row>
    <row r="35" customFormat="false" ht="12.75" hidden="false" customHeight="false" outlineLevel="0" collapsed="false">
      <c r="A35" s="518" t="s">
        <v>887</v>
      </c>
      <c r="B35" s="519" t="n">
        <v>0.2</v>
      </c>
      <c r="C35" s="520" t="n">
        <v>0.05</v>
      </c>
      <c r="D35" s="521" t="str">
        <f aca="false">IF(ISERROR(VLOOKUP($A35,'liste reference'!$A$6:$B$1174,2,0)),IF(ISERROR(VLOOKUP($A35,'liste reference'!$B$6:$B$1174,1,0)),"",VLOOKUP($A35,'liste reference'!$B$6:$B$1174,1,0)),VLOOKUP($A35,'liste reference'!$A$6:$B$1174,2,0))</f>
        <v>Fontinalis antipyretica</v>
      </c>
      <c r="E35" s="522" t="e">
        <f aca="false">IF(D35="",0,VLOOKUP(D35,D$22:D34,1,0))</f>
        <v>#N/A</v>
      </c>
      <c r="F35" s="523" t="n">
        <f aca="false">IF(AND(OR(A35="",A35="!!!!!!"),B35="",C35=""),"",IF(OR(AND(B35="",C35=""),ISERROR(C35+B35)),"!!!",($B35*$B$7+$C35*$C$7)/100))</f>
        <v>0.1145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Fontinalis antipyretica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1310</v>
      </c>
      <c r="R35" s="513" t="n">
        <f aca="false">IF(ISTEXT(H35),"",(B35*$B$7/100)+(C35*$C$7/100))</f>
        <v>0.1145</v>
      </c>
      <c r="S35" s="514" t="n">
        <f aca="false">IF(OR(ISTEXT(H35),R35=0),"",IF(R35&lt;0.1,1,IF(R35&lt;1,2,IF(R35&lt;10,3,IF(R35&lt;50,4,IF(R35&gt;=50,5,""))))))</f>
        <v>2</v>
      </c>
      <c r="T35" s="514" t="n">
        <f aca="false">IF(ISERROR(S35*J35),0,S35*J35)</f>
        <v>20</v>
      </c>
      <c r="U35" s="514" t="n">
        <f aca="false">IF(ISERROR(S35*J35*K35),0,S35*J35*K35)</f>
        <v>20</v>
      </c>
      <c r="V35" s="530" t="n">
        <f aca="false">IF(ISERROR(S35*K35),0,S35*K35)</f>
        <v>2</v>
      </c>
      <c r="W35" s="531"/>
      <c r="X35" s="532"/>
      <c r="Y35" s="517" t="str">
        <f aca="false">IF(AND(ISNUMBER(F35),OR(A35="",A35="!!!!!!")),"!!!!!!",IF(A35="new.cod","NEWCOD",IF(AND((Z35=""),ISTEXT(A35),A35&lt;&gt;"!!!!!!"),A35,IF(Z35="","",INDEX('liste reference'!$A$6:$A$1174,Z35)))))</f>
        <v>FONANT</v>
      </c>
      <c r="Z35" s="499" t="n">
        <f aca="false">IF(ISERROR(MATCH(A35,'liste reference'!$A$6:$A$1174,0)),IF(ISERROR(MATCH(A35,'liste reference'!$B$6:$B$1174,0)),"",(MATCH(A35,'liste reference'!$B$6:$B$1174,0))),(MATCH(A35,'liste reference'!$A$6:$A$1174,0)))</f>
        <v>273</v>
      </c>
    </row>
    <row r="36" customFormat="false" ht="12.75" hidden="false" customHeight="false" outlineLevel="0" collapsed="false">
      <c r="A36" s="518" t="s">
        <v>1120</v>
      </c>
      <c r="B36" s="519" t="n">
        <v>0.05</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0.0215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0.0215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1253</v>
      </c>
      <c r="B37" s="519" t="n">
        <v>0.005</v>
      </c>
      <c r="C37" s="520" t="n">
        <v>0.005</v>
      </c>
      <c r="D37" s="521" t="str">
        <f aca="false">IF(ISERROR(VLOOKUP($A37,'liste reference'!$A$6:$B$1174,2,0)),IF(ISERROR(VLOOKUP($A37,'liste reference'!$B$6:$B$1174,1,0)),"",VLOOKUP($A37,'liste reference'!$B$6:$B$1174,1,0)),VLOOKUP($A37,'liste reference'!$A$6:$B$1174,2,0))</f>
        <v>Equisetum arvense</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arvense</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1384</v>
      </c>
      <c r="R37" s="513" t="n">
        <f aca="false">IF(ISTEXT(H37),"",(B37*$B$7/100)+(C37*$C$7/100))</f>
        <v>0.005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EQUARV</v>
      </c>
      <c r="Z37" s="499" t="n">
        <f aca="false">IF(ISERROR(MATCH(A37,'liste reference'!$A$6:$A$1174,0)),IF(ISERROR(MATCH(A37,'liste reference'!$B$6:$B$1174,0)),"",(MATCH(A37,'liste reference'!$B$6:$B$1174,0))),(MATCH(A37,'liste reference'!$A$6:$A$1174,0)))</f>
        <v>385</v>
      </c>
    </row>
    <row r="38" customFormat="false" ht="12.75" hidden="false" customHeight="false" outlineLevel="0" collapsed="false">
      <c r="A38" s="518" t="s">
        <v>1481</v>
      </c>
      <c r="B38" s="519"/>
      <c r="C38" s="520" t="n">
        <v>0.005</v>
      </c>
      <c r="D38" s="521" t="str">
        <f aca="false">IF(ISERROR(VLOOKUP($A38,'liste reference'!$A$6:$B$1174,2,0)),IF(ISERROR(VLOOKUP($A38,'liste reference'!$B$6:$B$1174,1,0)),"",VLOOKUP($A38,'liste reference'!$B$6:$B$1174,1,0)),VLOOKUP($A38,'liste reference'!$A$6:$B$1174,2,0))</f>
        <v>Helosciadium nodiflorum </v>
      </c>
      <c r="E38" s="522" t="e">
        <f aca="false">IF(D38="",0,VLOOKUP(D38,D$22:D37,1,0))</f>
        <v>#N/A</v>
      </c>
      <c r="F38" s="523" t="n">
        <f aca="false">IF(AND(OR(A38="",A38="!!!!!!"),B38="",C38=""),"",IF(OR(AND(B38="",C38=""),ISERROR(C38+B38)),"!!!",($B38*$B$7+$C38*$C$7)/100))</f>
        <v>0.00285</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10</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Helosciadium nodiflorum </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30053</v>
      </c>
      <c r="R38" s="513" t="n">
        <f aca="false">IF(ISTEXT(H38),"",(B38*$B$7/100)+(C38*$C$7/100))</f>
        <v>0.00285</v>
      </c>
      <c r="S38" s="514" t="n">
        <f aca="false">IF(OR(ISTEXT(H38),R38=0),"",IF(R38&lt;0.1,1,IF(R38&lt;1,2,IF(R38&lt;10,3,IF(R38&lt;50,4,IF(R38&gt;=50,5,""))))))</f>
        <v>1</v>
      </c>
      <c r="T38" s="514" t="n">
        <f aca="false">IF(ISERROR(S38*J38),0,S38*J38)</f>
        <v>10</v>
      </c>
      <c r="U38" s="514" t="n">
        <f aca="false">IF(ISERROR(S38*J38*K38),0,S38*J38*K38)</f>
        <v>10</v>
      </c>
      <c r="V38" s="530" t="n">
        <f aca="false">IF(ISERROR(S38*K38),0,S38*K38)</f>
        <v>1</v>
      </c>
      <c r="W38" s="531"/>
      <c r="X38" s="532"/>
      <c r="Y38" s="517" t="str">
        <f aca="false">IF(AND(ISNUMBER(F38),OR(A38="",A38="!!!!!!")),"!!!!!!",IF(A38="new.cod","NEWCOD",IF(AND((Z38=""),ISTEXT(A38),A38&lt;&gt;"!!!!!!"),A38,IF(Z38="","",INDEX('liste reference'!$A$6:$A$1174,Z38)))))</f>
        <v>HELNOD</v>
      </c>
      <c r="Z38" s="499" t="n">
        <f aca="false">IF(ISERROR(MATCH(A38,'liste reference'!$A$6:$A$1174,0)),IF(ISERROR(MATCH(A38,'liste reference'!$B$6:$B$1174,0)),"",(MATCH(A38,'liste reference'!$B$6:$B$1174,0))),(MATCH(A38,'liste reference'!$A$6:$A$1174,0)))</f>
        <v>460</v>
      </c>
    </row>
    <row r="39" customFormat="false" ht="12.75" hidden="false" customHeight="false" outlineLevel="0" collapsed="false">
      <c r="A39" s="518" t="s">
        <v>2134</v>
      </c>
      <c r="B39" s="519" t="n">
        <v>0.005</v>
      </c>
      <c r="C39" s="520" t="n">
        <v>0.1</v>
      </c>
      <c r="D39" s="521" t="str">
        <f aca="false">IF(ISERROR(VLOOKUP($A39,'liste reference'!$A$6:$B$1174,2,0)),IF(ISERROR(VLOOKUP($A39,'liste reference'!$B$6:$B$1174,1,0)),"",VLOOKUP($A39,'liste reference'!$B$6:$B$1174,1,0)),VLOOKUP($A39,'liste reference'!$A$6:$B$1174,2,0))</f>
        <v>Mentha aquatica</v>
      </c>
      <c r="E39" s="522" t="e">
        <f aca="false">IF(D39="",0,VLOOKUP(D39,D$22:D38,1,0))</f>
        <v>#N/A</v>
      </c>
      <c r="F39" s="523" t="n">
        <f aca="false">IF(AND(OR(A39="",A39="!!!!!!"),B39="",C39=""),"",IF(OR(AND(B39="",C39=""),ISERROR(C39+B39)),"!!!",($B39*$B$7+$C39*$C$7)/100))</f>
        <v>0.05915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12</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Mentha aquatica</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1791</v>
      </c>
      <c r="R39" s="513" t="n">
        <f aca="false">IF(ISTEXT(H39),"",(B39*$B$7/100)+(C39*$C$7/100))</f>
        <v>0.05915</v>
      </c>
      <c r="S39" s="514" t="n">
        <f aca="false">IF(OR(ISTEXT(H39),R39=0),"",IF(R39&lt;0.1,1,IF(R39&lt;1,2,IF(R39&lt;10,3,IF(R39&lt;50,4,IF(R39&gt;=50,5,""))))))</f>
        <v>1</v>
      </c>
      <c r="T39" s="514" t="n">
        <f aca="false">IF(ISERROR(S39*J39),0,S39*J39)</f>
        <v>12</v>
      </c>
      <c r="U39" s="514" t="n">
        <f aca="false">IF(ISERROR(S39*J39*K39),0,S39*J39*K39)</f>
        <v>12</v>
      </c>
      <c r="V39" s="530" t="n">
        <f aca="false">IF(ISERROR(S39*K39),0,S39*K39)</f>
        <v>1</v>
      </c>
      <c r="W39" s="531"/>
      <c r="X39" s="532"/>
      <c r="Y39" s="517" t="str">
        <f aca="false">IF(AND(ISNUMBER(F39),OR(A39="",A39="!!!!!!")),"!!!!!!",IF(A39="new.cod","NEWCOD",IF(AND((Z39=""),ISTEXT(A39),A39&lt;&gt;"!!!!!!"),A39,IF(Z39="","",INDEX('liste reference'!$A$6:$A$1174,Z39)))))</f>
        <v>MENAQU</v>
      </c>
      <c r="Z39" s="499" t="n">
        <f aca="false">IF(ISERROR(MATCH(A39,'liste reference'!$A$6:$A$1174,0)),IF(ISERROR(MATCH(A39,'liste reference'!$B$6:$B$1174,0)),"",(MATCH(A39,'liste reference'!$B$6:$B$1174,0))),(MATCH(A39,'liste reference'!$A$6:$A$1174,0)))</f>
        <v>694</v>
      </c>
    </row>
    <row r="40" customFormat="false" ht="12.75" hidden="false" customHeight="false" outlineLevel="0" collapsed="false">
      <c r="A40" s="518" t="s">
        <v>2258</v>
      </c>
      <c r="B40" s="519"/>
      <c r="C40" s="520" t="n">
        <v>0.005</v>
      </c>
      <c r="D40" s="521" t="str">
        <f aca="false">IF(ISERROR(VLOOKUP($A40,'liste reference'!$A$6:$B$1174,2,0)),IF(ISERROR(VLOOKUP($A40,'liste reference'!$B$6:$B$1174,1,0)),"",VLOOKUP($A40,'liste reference'!$B$6:$B$1174,1,0)),VLOOKUP($A40,'liste reference'!$A$6:$B$1174,2,0))</f>
        <v>Veronica anagallis-aquatica</v>
      </c>
      <c r="E40" s="522" t="e">
        <f aca="false">IF(D40="",0,VLOOKUP(D40,D$22:D39,1,0))</f>
        <v>#N/A</v>
      </c>
      <c r="F40" s="523" t="n">
        <f aca="false">IF(AND(OR(A40="",A40="!!!!!!"),B40="",C40=""),"",IF(OR(AND(B40="",C40=""),ISERROR(C40+B40)),"!!!",($B40*$B$7+$C40*$C$7)/100))</f>
        <v>0.00285</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11</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Veronica anagallis-aquatica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1955</v>
      </c>
      <c r="R40" s="513" t="n">
        <f aca="false">IF(ISTEXT(H40),"",(B40*$B$7/100)+(C40*$C$7/100))</f>
        <v>0.00285</v>
      </c>
      <c r="S40" s="514" t="n">
        <f aca="false">IF(OR(ISTEXT(H40),R40=0),"",IF(R40&lt;0.1,1,IF(R40&lt;1,2,IF(R40&lt;10,3,IF(R40&lt;50,4,IF(R40&gt;=50,5,""))))))</f>
        <v>1</v>
      </c>
      <c r="T40" s="514" t="n">
        <f aca="false">IF(ISERROR(S40*J40),0,S40*J40)</f>
        <v>11</v>
      </c>
      <c r="U40" s="514" t="n">
        <f aca="false">IF(ISERROR(S40*J40*K40),0,S40*J40*K40)</f>
        <v>22</v>
      </c>
      <c r="V40" s="530" t="n">
        <f aca="false">IF(ISERROR(S40*K40),0,S40*K40)</f>
        <v>2</v>
      </c>
      <c r="W40" s="531"/>
      <c r="X40" s="532"/>
      <c r="Y40" s="517" t="str">
        <f aca="false">IF(AND(ISNUMBER(F40),OR(A40="",A40="!!!!!!")),"!!!!!!",IF(A40="new.cod","NEWCOD",IF(AND((Z40=""),ISTEXT(A40),A40&lt;&gt;"!!!!!!"),A40,IF(Z40="","",INDEX('liste reference'!$A$6:$A$1174,Z40)))))</f>
        <v>VERANA</v>
      </c>
      <c r="Z40" s="499" t="n">
        <f aca="false">IF(ISERROR(MATCH(A40,'liste reference'!$A$6:$A$1174,0)),IF(ISERROR(MATCH(A40,'liste reference'!$B$6:$B$1174,0)),"",(MATCH(A40,'liste reference'!$B$6:$B$1174,0))),(MATCH(A40,'liste reference'!$A$6:$A$1174,0)))</f>
        <v>740</v>
      </c>
    </row>
    <row r="41" customFormat="false" ht="12.75" hidden="false" customHeight="false" outlineLevel="0" collapsed="false">
      <c r="A41" s="518" t="s">
        <v>2419</v>
      </c>
      <c r="B41" s="519" t="n">
        <v>0.01</v>
      </c>
      <c r="C41" s="520" t="n">
        <v>0.1</v>
      </c>
      <c r="D41" s="521" t="str">
        <f aca="false">IF(ISERROR(VLOOKUP($A41,'liste reference'!$A$6:$B$1174,2,0)),IF(ISERROR(VLOOKUP($A41,'liste reference'!$B$6:$B$1174,1,0)),"",VLOOKUP($A41,'liste reference'!$B$6:$B$1174,1,0)),VLOOKUP($A41,'liste reference'!$A$6:$B$1174,2,0))</f>
        <v>Carex pendula</v>
      </c>
      <c r="E41" s="522" t="e">
        <f aca="false">IF(D41="",0,VLOOKUP(D41,D$22:D40,1,0))</f>
        <v>#N/A</v>
      </c>
      <c r="F41" s="523" t="n">
        <f aca="false">IF(AND(OR(A41="",A41="!!!!!!"),B41="",C41=""),"",IF(OR(AND(B41="",C41=""),ISERROR(C41+B41)),"!!!",($B41*$B$7+$C41*$C$7)/100))</f>
        <v>0.0613</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Carex pendula</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1485</v>
      </c>
      <c r="R41" s="513" t="n">
        <f aca="false">IF(ISTEXT(H41),"",(B41*$B$7/100)+(C41*$C$7/100))</f>
        <v>0.0613</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CARPEN</v>
      </c>
      <c r="Z41" s="499" t="n">
        <f aca="false">IF(ISERROR(MATCH(A41,'liste reference'!$A$6:$A$1174,0)),IF(ISERROR(MATCH(A41,'liste reference'!$B$6:$B$1174,0)),"",(MATCH(A41,'liste reference'!$B$6:$B$1174,0))),(MATCH(A41,'liste reference'!$A$6:$A$1174,0)))</f>
        <v>801</v>
      </c>
    </row>
    <row r="42" customFormat="false" ht="12.75" hidden="false" customHeight="false" outlineLevel="0" collapsed="false">
      <c r="A42" s="518" t="s">
        <v>2864</v>
      </c>
      <c r="B42" s="519"/>
      <c r="C42" s="520" t="n">
        <v>0.1</v>
      </c>
      <c r="D42" s="521" t="str">
        <f aca="false">IF(ISERROR(VLOOKUP($A42,'liste reference'!$A$6:$B$1174,2,0)),IF(ISERROR(VLOOKUP($A42,'liste reference'!$B$6:$B$1174,1,0)),"",VLOOKUP($A42,'liste reference'!$B$6:$B$1174,1,0)),VLOOKUP($A42,'liste reference'!$A$6:$B$1174,2,0))</f>
        <v>Scirpoides holoschoenus</v>
      </c>
      <c r="E42" s="522" t="e">
        <f aca="false">IF(D42="",0,VLOOKUP(D42,D$22:D41,1,0))</f>
        <v>#N/A</v>
      </c>
      <c r="F42" s="523" t="n">
        <f aca="false">IF(AND(OR(A42="",A42="!!!!!!"),B42="",C42=""),"",IF(OR(AND(B42="",C42=""),ISERROR(C42+B42)),"!!!",($B42*$B$7+$C42*$C$7)/100))</f>
        <v>0.057</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Scirpoides holoschoenus</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19685</v>
      </c>
      <c r="R42" s="513" t="n">
        <f aca="false">IF(ISTEXT(H42),"",(B42*$B$7/100)+(C42*$C$7/100))</f>
        <v>0.057</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SCPHOL</v>
      </c>
      <c r="Z42" s="499" t="n">
        <f aca="false">IF(ISERROR(MATCH(A42,'liste reference'!$A$6:$A$1174,0)),IF(ISERROR(MATCH(A42,'liste reference'!$B$6:$B$1174,0)),"",(MATCH(A42,'liste reference'!$B$6:$B$1174,0))),(MATCH(A42,'liste reference'!$A$6:$A$1174,0)))</f>
        <v>961</v>
      </c>
    </row>
    <row r="43" customFormat="false" ht="12.75" hidden="false" customHeight="false" outlineLevel="0" collapsed="false">
      <c r="A43" s="518" t="s">
        <v>3463</v>
      </c>
      <c r="B43" s="519"/>
      <c r="C43" s="520" t="n">
        <v>0.02</v>
      </c>
      <c r="D43" s="521" t="str">
        <f aca="false">IF(ISERROR(VLOOKUP($A43,'liste reference'!$A$6:$B$1174,2,0)),IF(ISERROR(VLOOKUP($A43,'liste reference'!$B$6:$B$1174,1,0)),"",VLOOKUP($A43,'liste reference'!$B$6:$B$1174,1,0)),VLOOKUP($A43,'liste reference'!$A$6:$B$1174,2,0))</f>
        <v/>
      </c>
      <c r="E43" s="522" t="n">
        <f aca="false">IF(D43="",0,VLOOKUP(D43,D$22:D42,1,0))</f>
        <v>0</v>
      </c>
      <c r="F43" s="523" t="n">
        <f aca="false">IF(AND(OR(A43="",A43="!!!!!!"),B43="",C43=""),"",IF(OR(AND(B43="",C43=""),ISERROR(C43+B43)),"!!!",($B43*$B$7+$C43*$C$7)/100))</f>
        <v>0.0114</v>
      </c>
      <c r="G43" s="524" t="str">
        <f aca="false">IF(A43="","",IF(ISERROR(VLOOKUP($A43,'liste reference'!$A$6:$Q$1174,9,0)),IF(ISERROR(VLOOKUP($A43,'liste reference'!$B$6:$Q$1174,8,0)),"    -",VLOOKUP($A43,'liste reference'!$B$6:$Q$1174,8,0)),VLOOKUP($A43,'liste reference'!$A$6:$Q$1174,9,0)))</f>
        <v>    -</v>
      </c>
      <c r="H43" s="525" t="str">
        <f aca="false">IF(A43="","x",IF(ISERROR(VLOOKUP($A43,'liste reference'!$A$6:$Q$1174,10,0)),IF(ISERROR(VLOOKUP($A43,'liste reference'!$B$6:$Q$1174,9,0)),"x",VLOOKUP($A43,'liste reference'!$B$6:$Q$1174,9,0)),VLOOKUP($A43,'liste reference'!$A$6:$Q$1174,10,0)))</f>
        <v>x</v>
      </c>
      <c r="I43" s="309" t="n">
        <f aca="false">IF(A43="","",1)</f>
        <v>1</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Cyperus involucratus</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NoCod</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t="s">
        <v>3464</v>
      </c>
      <c r="X43" s="532"/>
      <c r="Y43" s="517" t="str">
        <f aca="false">IF(AND(ISNUMBER(F43),OR(A43="",A43="!!!!!!")),"!!!!!!",IF(A43="new.cod","NEWCOD",IF(AND((Z43=""),ISTEXT(A43),A43&lt;&gt;"!!!!!!"),A43,IF(Z43="","",INDEX('liste reference'!$A$6:$A$1174,Z43)))))</f>
        <v>NEWCOD</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3.5661</v>
      </c>
      <c r="G83" s="452"/>
      <c r="H83" s="452"/>
      <c r="I83" s="452"/>
      <c r="J83" s="452"/>
      <c r="K83" s="452"/>
      <c r="L83" s="452"/>
      <c r="M83" s="514"/>
      <c r="N83" s="514"/>
      <c r="O83" s="514"/>
      <c r="P83" s="514"/>
      <c r="Q83" s="514"/>
      <c r="R83" s="514"/>
      <c r="S83" s="514"/>
      <c r="T83" s="514"/>
      <c r="U83" s="514"/>
      <c r="V83" s="514" t="n">
        <f aca="false">SUM(V23:V82)</f>
        <v>37</v>
      </c>
      <c r="W83" s="514"/>
      <c r="X83" s="552"/>
      <c r="Y83" s="552"/>
      <c r="Z83" s="553"/>
    </row>
    <row r="84" customFormat="false" ht="12.75" hidden="true" customHeight="false" outlineLevel="0" collapsed="false">
      <c r="A84" s="547" t="str">
        <f aca="false">A3</f>
        <v>LURI</v>
      </c>
      <c r="B84" s="481" t="str">
        <f aca="false">C3</f>
        <v>Luri</v>
      </c>
      <c r="C84" s="554" t="str">
        <f aca="false">A4</f>
        <v>(Date)</v>
      </c>
      <c r="D84" s="555" t="n">
        <f aca="false">IF(OR(ISERROR(SUM($U$23:$U$82)/SUM($V$23:$V$82)),F7&lt;&gt;100),-1,SUM($U$23:$U$82)/SUM($V$23:$V$82))</f>
        <v>13.9189189189189</v>
      </c>
      <c r="E84" s="556" t="n">
        <f aca="false">O13</f>
        <v>21</v>
      </c>
      <c r="F84" s="481" t="n">
        <f aca="false">O14</f>
        <v>15</v>
      </c>
      <c r="G84" s="481" t="n">
        <f aca="false">O15</f>
        <v>8</v>
      </c>
      <c r="H84" s="481" t="n">
        <f aca="false">O16</f>
        <v>5</v>
      </c>
      <c r="I84" s="481" t="n">
        <f aca="false">O17</f>
        <v>2</v>
      </c>
      <c r="J84" s="557" t="n">
        <f aca="false">O8</f>
        <v>12.2666666666667</v>
      </c>
      <c r="K84" s="558" t="n">
        <f aca="false">O9</f>
        <v>3.33599893418581</v>
      </c>
      <c r="L84" s="559" t="n">
        <f aca="false">O10</f>
        <v>6</v>
      </c>
      <c r="M84" s="559" t="n">
        <f aca="false">O11</f>
        <v>18</v>
      </c>
      <c r="N84" s="558" t="n">
        <f aca="false">P8</f>
        <v>1.6</v>
      </c>
      <c r="O84" s="558" t="n">
        <f aca="false">P9</f>
        <v>0.711805216802088</v>
      </c>
      <c r="P84" s="559" t="n">
        <f aca="false">P10</f>
        <v>1</v>
      </c>
      <c r="Q84" s="559" t="n">
        <f aca="false">P11</f>
        <v>3</v>
      </c>
      <c r="R84" s="559" t="n">
        <f aca="false">F21</f>
        <v>3.5661</v>
      </c>
      <c r="S84" s="559" t="n">
        <f aca="false">L11</f>
        <v>0</v>
      </c>
      <c r="T84" s="559" t="n">
        <f aca="false">L12</f>
        <v>9</v>
      </c>
      <c r="U84" s="559" t="n">
        <f aca="false">L13</f>
        <v>5</v>
      </c>
      <c r="V84" s="560" t="n">
        <f aca="false">L15</f>
        <v>5</v>
      </c>
      <c r="W84" s="561" t="n">
        <f aca="false">L15</f>
        <v>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36</v>
      </c>
      <c r="U87" s="309"/>
      <c r="V87" s="309"/>
    </row>
    <row r="88" customFormat="false" ht="12.75" hidden="true" customHeight="false" outlineLevel="0" collapsed="false">
      <c r="C88" s="563"/>
      <c r="D88" s="563"/>
      <c r="E88" s="563"/>
      <c r="R88" s="309" t="s">
        <v>3445</v>
      </c>
      <c r="S88" s="309"/>
      <c r="T88" s="565" t="n">
        <f aca="false">VLOOKUP($T$91,($A$23:$U$82),21,FALSE())</f>
        <v>108</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13.1290322580645</v>
      </c>
      <c r="U90" s="309" t="n">
        <f aca="false">IF(ISERROR(T90),0,1)</f>
        <v>1</v>
      </c>
    </row>
    <row r="91" customFormat="false" ht="12.75" hidden="true" customHeight="false" outlineLevel="0" collapsed="false">
      <c r="C91" s="563"/>
      <c r="D91" s="563"/>
      <c r="E91" s="563"/>
      <c r="R91" s="514" t="s">
        <v>3449</v>
      </c>
      <c r="S91" s="514"/>
      <c r="T91" s="514" t="str">
        <f aca="false">INDEX('liste reference'!$A$6:$A$1174,$U$91)</f>
        <v>DRASPX</v>
      </c>
      <c r="U91" s="309" t="n">
        <f aca="false">IF(ISERROR(MATCH($T$93,'liste reference'!$A$6:$A$1174,0)),MATCH($T$93,'liste reference'!$B$6:$B$1174,0),(MATCH($T$93,'liste reference'!$A$6:$A$1174,0)))</f>
        <v>42</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DRASPX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3486</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2016-04-13T14:38:48Z</dcterms:modified>
  <cp:revision>0</cp:revision>
  <dc:subject/>
  <dc:title>Feuille d'aide au calcul de l'IBMR</dc:title>
</cp:coreProperties>
</file>