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<sst xmlns="http://schemas.openxmlformats.org/spreadsheetml/2006/main" count="100" uniqueCount="95">
  <si>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</si>
  <si>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</si>
  <si>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</si>
  <si>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</si>
  <si>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</si>
  <si>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Ay</t>
  </si>
  <si>
    <t xml:space="preserve">AY A SARRAS</t>
  </si>
  <si>
    <t xml:space="preserve">06580075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</si>
  <si>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</si>
  <si>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</si>
  <si>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</si>
  <si>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</si>
  <si>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</si>
  <si>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</si>
  <si>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</si>
  <si>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</si>
  <si>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MELSPX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</si>
  <si>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</si>
  <si>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</si>
  <si>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</si>
  <si>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</si>
  <si>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</si>
  <si>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</si>
  <si>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</si>
  <si>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</si>
  <si>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</si>
  <si>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</si>
  <si>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</si>
  <si>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</si>
  <si>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</si>
  <si>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</si>
  <si>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</si>
  <si>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</si>
  <si>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</si>
  <si>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</si>
  <si>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</si>
  <si>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</si>
  <si>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</si>
  <si>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</si>
  <si>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</si>
  <si>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</si>
  <si>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</si>
  <si>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</si>
  <si>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</si>
  <si>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</si>
  <si>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</si>
  <si>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</si>
  <si>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</si>
  <si>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</si>
  <si>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</si>
  <si>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</si>
  <si>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</si>
  <si>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</si>
  <si>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</si>
  <si>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</si>
  <si>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</si>
  <si>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</si>
  <si>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</si>
  <si>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</si>
  <si>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</si>
  <si>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</si>
  <si>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</si>
  <si>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</si>
  <si>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</si>
  <si>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</si>
  <si>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</si>
  <si>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</si>
  <si>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</si>
  <si>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</si>
  <si>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</si>
  <si>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</si>
  <si>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</si>
  <si>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</si>
  <si>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</si>
  <si>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</si>
  <si>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</si>
  <si>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</si>
  <si>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</si>
  <si>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LEASPX</t>
  </si>
  <si>
    <t xml:space="preserve">PHOSPX</t>
  </si>
  <si>
    <t xml:space="preserve">DERWEB</t>
  </si>
  <si>
    <t xml:space="preserve">AMBFLU</t>
  </si>
  <si>
    <t xml:space="preserve">FONANT</t>
  </si>
  <si>
    <t xml:space="preserve">RHYRIP</t>
  </si>
  <si>
    <t xml:space="preserve">EQUSPX</t>
  </si>
  <si>
    <t xml:space="preserve">LYSVUL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</si>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</sst>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AYSAR_19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12.8235294117647</v>
      </c>
      <c r="M5" s="53"/>
      <c r="N5" s="54" t="s">
        <v>16</v>
      </c>
      <c r="O5" s="55" t="n">
        <v>13.6923076923077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50</v>
      </c>
      <c r="C7" s="67" t="n">
        <v>50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12.4285714285714</v>
      </c>
      <c r="O8" s="84" t="n">
        <f aca="false">IF(ISERROR(AVERAGE(J23:J82)),"      -",AVERAGE(J23:J82))</f>
        <v>1.71428571428571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1.06</v>
      </c>
      <c r="C9" s="87" t="n">
        <v>32.03</v>
      </c>
      <c r="D9" s="88"/>
      <c r="E9" s="88"/>
      <c r="F9" s="89" t="n">
        <f aca="false">($B9*$B$7+$C9*$C$7)/100</f>
        <v>16.545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2.1946130708196</v>
      </c>
      <c r="O9" s="84" t="n">
        <f aca="false">IF(ISERROR(STDEVP(J23:J82)),"      -",STDEVP(J23:J82))</f>
        <v>0.699854212223765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1.01</v>
      </c>
      <c r="C12" s="119" t="n">
        <v>32.01</v>
      </c>
      <c r="D12" s="111"/>
      <c r="E12" s="111"/>
      <c r="F12" s="112" t="n">
        <f aca="false">($B12*$B$7+$C12*$C$7)/100</f>
        <v>16.51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0.04</v>
      </c>
      <c r="C13" s="119"/>
      <c r="D13" s="111"/>
      <c r="E13" s="111"/>
      <c r="F13" s="112" t="n">
        <f aca="false">($B13*$B$7+$C13*$C$7)/100</f>
        <v>0.02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 t="n">
        <v>0.01</v>
      </c>
      <c r="C14" s="119"/>
      <c r="D14" s="111"/>
      <c r="E14" s="111"/>
      <c r="F14" s="112" t="n">
        <f aca="false">($B14*$B$7+$C14*$C$7)/100</f>
        <v>0.005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2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0.02</v>
      </c>
      <c r="D15" s="111"/>
      <c r="E15" s="111"/>
      <c r="F15" s="112" t="n">
        <f aca="false">($B15*$B$7+$C15*$C$7)/100</f>
        <v>0.01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1.06</v>
      </c>
      <c r="C17" s="119" t="n">
        <v>32.01</v>
      </c>
      <c r="D17" s="111"/>
      <c r="E17" s="111"/>
      <c r="F17" s="143"/>
      <c r="G17" s="112" t="n">
        <f aca="false">($B17*$B$7+$C17*$C$7)/100</f>
        <v>16.535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0.02</v>
      </c>
      <c r="D18" s="111"/>
      <c r="E18" s="147" t="s">
        <v>54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16.545</v>
      </c>
      <c r="G19" s="156" t="n">
        <f aca="false">SUM(G16:G18)</f>
        <v>16.545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1.06</v>
      </c>
      <c r="C20" s="166" t="n">
        <f aca="false">SUM(C23:C82)</f>
        <v>32.03</v>
      </c>
      <c r="D20" s="167"/>
      <c r="E20" s="168" t="s">
        <v>54</v>
      </c>
      <c r="F20" s="169" t="n">
        <f aca="false">($B20*$B$7+$C20*$C$7)/100</f>
        <v>16.545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0.53</v>
      </c>
      <c r="C21" s="179" t="n">
        <f aca="false">C20*C7/100</f>
        <v>16.015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16.545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0.2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Lemanea sp.</v>
      </c>
      <c r="E23" s="206" t="e">
        <f aca="false">IF(D23="",0,VLOOKUP(D23,D$22:D22,1,0))</f>
        <v>#N/A</v>
      </c>
      <c r="F23" s="207" t="n">
        <f aca="false">($B23*$B$7+$C23*$C$7)/100</f>
        <v>0.1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15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Lemanea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1159</v>
      </c>
      <c r="Q23" s="215" t="n">
        <f aca="false">IF(ISTEXT(H23),"",(B23*$B$7/100)+(C23*$C$7/100))</f>
        <v>0.1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30</v>
      </c>
      <c r="T23" s="216" t="n">
        <f aca="false">IF(ISERROR(R23*I23*J23),0,R23*I23*J23)</f>
        <v>60</v>
      </c>
      <c r="U23" s="216" t="n">
        <f aca="false">IF(ISERROR(R23*J23),0,R23*J23)</f>
        <v>4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LEASPX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34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0.8</v>
      </c>
      <c r="C24" s="224" t="n">
        <v>32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Melosira sp.</v>
      </c>
      <c r="E24" s="225" t="e">
        <f aca="false">IF(D24="",0,VLOOKUP(D24,D$22:D23,1,0))</f>
        <v>#N/A</v>
      </c>
      <c r="F24" s="226" t="n">
        <f aca="false">($B24*$B$7+$C24*$C$7)/100</f>
        <v>16.4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Melosira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8714</v>
      </c>
      <c r="Q24" s="215" t="n">
        <f aca="false">IF(ISTEXT(H24),"",(B24*$B$7/100)+(C24*$C$7/100))</f>
        <v>16.4</v>
      </c>
      <c r="R24" s="216" t="n">
        <f aca="false">IF(OR(ISTEXT(H24),Q24=0),"",IF(Q24&lt;0.1,1,IF(Q24&lt;1,2,IF(Q24&lt;10,3,IF(Q24&lt;50,4,IF(Q24&gt;=50,5,""))))))</f>
        <v>4</v>
      </c>
      <c r="S24" s="216" t="n">
        <f aca="false">IF(ISERROR(R24*I24),0,R24*I24)</f>
        <v>40</v>
      </c>
      <c r="T24" s="216" t="n">
        <f aca="false">IF(ISERROR(R24*I24*J24),0,R24*I24*J24)</f>
        <v>40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MELSPX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0.01</v>
      </c>
      <c r="C25" s="224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0.01</v>
      </c>
      <c r="C26" s="224" t="n">
        <v>0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Dermatocarpon weberi</v>
      </c>
      <c r="E26" s="225" t="e">
        <f aca="false">IF(D26="",0,VLOOKUP(D26,D$22:D25,1,0))</f>
        <v>#N/A</v>
      </c>
      <c r="F26" s="226" t="n">
        <f aca="false">($B26*$B$7+$C26*$C$7)/100</f>
        <v>0.005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LIC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3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16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3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Dermatocarpon weberi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10217</v>
      </c>
      <c r="Q26" s="215" t="n">
        <f aca="false">IF(ISTEXT(H26),"",(B26*$B$7/100)+(C26*$C$7/100))</f>
        <v>0.005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16</v>
      </c>
      <c r="T26" s="216" t="n">
        <f aca="false">IF(ISERROR(R26*I26*J26),0,R26*I26*J26)</f>
        <v>48</v>
      </c>
      <c r="U26" s="228" t="n">
        <f aca="false">IF(ISERROR(R26*J26),0,R26*J26)</f>
        <v>3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DERWEB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88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0.01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Amblystegium fluviatile</v>
      </c>
      <c r="E27" s="225" t="e">
        <f aca="false">IF(D27="",0,VLOOKUP(D27,D$22:D26,1,0))</f>
        <v>#N/A</v>
      </c>
      <c r="F27" s="226" t="n">
        <f aca="false">($B27*$B$7+$C27*$C$7)/100</f>
        <v>0.005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11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Amblystegium fluviatile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1223</v>
      </c>
      <c r="Q27" s="215" t="n">
        <f aca="false">IF(ISTEXT(H27),"",(B27*$B$7/100)+(C27*$C$7/100))</f>
        <v>0.005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11</v>
      </c>
      <c r="T27" s="216" t="n">
        <f aca="false">IF(ISERROR(R27*I27*J27),0,R27*I27*J27)</f>
        <v>22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AMBFLU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147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Fontinalis antipyretica</v>
      </c>
      <c r="E28" s="225" t="e">
        <f aca="false">IF(D28="",0,VLOOKUP(D28,D$22:D27,1,0))</f>
        <v>#N/A</v>
      </c>
      <c r="F28" s="226" t="n">
        <f aca="false">($B28*$B$7+$C28*$C$7)/100</f>
        <v>0.005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Fontinalis antipyretica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1310</v>
      </c>
      <c r="Q28" s="215" t="n">
        <f aca="false">IF(ISTEXT(H28),"",(B28*$B$7/100)+(C28*$C$7/100))</f>
        <v>0.005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10</v>
      </c>
      <c r="T28" s="216" t="n">
        <f aca="false">IF(ISERROR(R28*I28*J28),0,R28*I28*J28)</f>
        <v>10</v>
      </c>
      <c r="U28" s="228" t="n">
        <f aca="false">IF(ISERROR(R28*J28),0,R28*J28)</f>
        <v>1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FONANT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210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0.02</v>
      </c>
      <c r="C29" s="224" t="n">
        <v>0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5" t="e">
        <f aca="false">IF(D29="",0,VLOOKUP(D29,D$22:D28,1,0))</f>
        <v>#N/A</v>
      </c>
      <c r="F29" s="226" t="n">
        <f aca="false">($B29*$B$7+$C29*$C$7)/100</f>
        <v>0.01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5" t="n">
        <f aca="false">IF(ISTEXT(H29),"",(B29*$B$7/100)+(C29*$C$7/100))</f>
        <v>0.01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12</v>
      </c>
      <c r="T29" s="216" t="n">
        <f aca="false">IF(ISERROR(R29*I29*J29),0,R29*I29*J29)</f>
        <v>12</v>
      </c>
      <c r="U29" s="228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0.01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Equisetum sp.</v>
      </c>
      <c r="E30" s="225" t="e">
        <f aca="false">IF(D30="",0,VLOOKUP(D30,D$22:D29,1,0))</f>
        <v>#N/A</v>
      </c>
      <c r="F30" s="226" t="n">
        <f aca="false">($B30*$B$7+$C30*$C$7)/100</f>
        <v>0.005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PTE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6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Equisetum sp.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1383</v>
      </c>
      <c r="Q30" s="215" t="n">
        <f aca="false">IF(ISTEXT(H30),"",(B30*$B$7/100)+(C30*$C$7/100))</f>
        <v>0.005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EQUSPX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283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Lysimachia vulgaris</v>
      </c>
      <c r="E31" s="225" t="e">
        <f aca="false">IF(D31="",0,VLOOKUP(D31,D$22:D30,1,0))</f>
        <v>#N/A</v>
      </c>
      <c r="F31" s="226" t="n">
        <f aca="false">($B31*$B$7+$C31*$C$7)/100</f>
        <v>0.005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Lysimachia vulgaris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1887</v>
      </c>
      <c r="Q31" s="215" t="n">
        <f aca="false">IF(ISTEXT(H31),"",(B31*$B$7/100)+(C31*$C$7/100))</f>
        <v>0.005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LYSVUL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601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Ay</v>
      </c>
      <c r="B84" s="258" t="str">
        <f aca="false">C3</f>
        <v>AY A SARRAS</v>
      </c>
      <c r="C84" s="259" t="n">
        <f aca="false">A4</f>
        <v>41444</v>
      </c>
      <c r="D84" s="260" t="n">
        <f aca="false">IF(ISERROR(SUM($T$23:$T$82)/SUM($U$23:$U$82)),"",SUM($T$23:$T$82)/SUM($U$23:$U$82))</f>
        <v>12.8235294117647</v>
      </c>
      <c r="E84" s="261" t="n">
        <f aca="false">N13</f>
        <v>9</v>
      </c>
      <c r="F84" s="258" t="n">
        <f aca="false">N14</f>
        <v>7</v>
      </c>
      <c r="G84" s="258" t="n">
        <f aca="false">N15</f>
        <v>3</v>
      </c>
      <c r="H84" s="258" t="n">
        <f aca="false">N16</f>
        <v>3</v>
      </c>
      <c r="I84" s="258" t="n">
        <f aca="false">N17</f>
        <v>1</v>
      </c>
      <c r="J84" s="262" t="n">
        <f aca="false">N8</f>
        <v>12.4285714285714</v>
      </c>
      <c r="K84" s="260" t="n">
        <f aca="false">N9</f>
        <v>2.1946130708196</v>
      </c>
      <c r="L84" s="261" t="n">
        <f aca="false">N10</f>
        <v>10</v>
      </c>
      <c r="M84" s="261" t="n">
        <f aca="false">N11</f>
        <v>16</v>
      </c>
      <c r="N84" s="260" t="n">
        <f aca="false">O8</f>
        <v>1.71428571428571</v>
      </c>
      <c r="O84" s="260" t="n">
        <f aca="false">O9</f>
        <v>0.699854212223765</v>
      </c>
      <c r="P84" s="261" t="n">
        <f aca="false">O10</f>
        <v>1</v>
      </c>
      <c r="Q84" s="261" t="n">
        <f aca="false">O11</f>
        <v>3</v>
      </c>
      <c r="R84" s="261" t="n">
        <f aca="false">F21</f>
        <v>16.545</v>
      </c>
      <c r="S84" s="261" t="n">
        <f aca="false">K11</f>
        <v>0</v>
      </c>
      <c r="T84" s="261" t="n">
        <f aca="false">K12</f>
        <v>3</v>
      </c>
      <c r="U84" s="261" t="n">
        <f aca="false">K13</f>
        <v>3</v>
      </c>
      <c r="V84" s="263" t="n">
        <f aca="false">K14</f>
        <v>2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87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7" t="n">
        <f aca="false">VLOOKUP(MAX($S$23:$S$82),($S$23:$U$82),1,0)</f>
        <v>40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7" t="n">
        <f aca="false">VLOOKUP((S87),($S$23:$U$82),2,0)</f>
        <v>40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7" t="n">
        <f aca="false">IF(ISERROR(SUM($T$23:$T$82)/SUM($U$23:$U$82)),"",(SUM($T$23:$T$82)-S88)/(SUM($U$23:$U$82)-S89))</f>
        <v>13.6923076923077</v>
      </c>
      <c r="T90" s="10"/>
    </row>
    <row r="91" customFormat="false" ht="12.75" hidden="false" customHeight="false" outlineLevel="0" collapsed="false">
      <c r="Q91" s="216" t="s">
        <v>92</v>
      </c>
      <c r="R91" s="216"/>
      <c r="S91" s="216" t="str">
        <f aca="false">INDEX('[1]liste reference'!$A$8:$A$904,$T$91)</f>
        <v>MELSPX</v>
      </c>
      <c r="T91" s="10" t="n">
        <f aca="false">IF(ISERROR(MATCH($S$93,'[1]liste reference'!$A$8:$A$904,0)),MATCH($S$93,'[1]liste reference'!$B$8:$B$904,0),(MATCH($S$93,'[1]liste reference'!$A$8:$A$904,0)))</f>
        <v>36</v>
      </c>
      <c r="U91" s="256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94</v>
      </c>
      <c r="R93" s="10"/>
      <c r="S93" s="216" t="str">
        <f aca="false">INDEX($A$23:$A$82,$S$92)</f>
        <v>MELSPX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2013-12-16T15:25:00Z</dcterms:created>
  <dc:creator>Laurent Bourgoin</dc:creator>
  <dc:description/>
  <dc:language>fr-FR</dc:language>
  <cp:lastModifiedBy>Laurent Bourgoin</cp:lastModifiedBy>
  <dcterms:modified xsi:type="dcterms:W3CDTF">2013-12-16T15:26:09Z</dcterms:modified>
  <cp:revision>0</cp:revision>
  <dc:subject/>
  <dc:title/>
</cp:coreProperties>
</file>