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<sst xmlns="http://schemas.openxmlformats.org/spreadsheetml/2006/main" count="157" uniqueCount="91">
  <si>
    <t xml:space="preserve">Relevés floristiques aquatiques - IBMR</t>
  </si>
  <si>
    <t xml:space="preserve">modèle Irstea-GIS</t>
  </si>
  <si>
    <t xml:space="preserve">SAGE ENVIRONNEMENT</t>
  </si>
  <si>
    <t xml:space="preserve">CBERNARD M SCHNEIDER</t>
  </si>
  <si>
    <t xml:space="preserve">BAUME</t>
  </si>
  <si>
    <t xml:space="preserve">BAUME A ROSIERES </t>
  </si>
  <si>
    <t xml:space="preserve">06580238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</si>
  <si>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</si>
  <si>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</si>
  <si>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</si>
  <si>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</si>
  <si>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</si>
  <si>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</si>
  <si>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</si>
  <si>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</si>
  <si>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</si>
  <si>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DIASPX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</si>
  <si>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</si>
  <si>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</si>
  <si>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</si>
  <si>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</si>
  <si>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</si>
  <si>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</si>
  <si>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</si>
  <si>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</si>
  <si>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</si>
  <si>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</si>
  <si>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</si>
  <si>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</si>
  <si>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</si>
  <si>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</si>
  <si>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</si>
  <si>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</si>
  <si>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</si>
  <si>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</si>
  <si>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</si>
  <si>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</si>
  <si>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</si>
  <si>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</si>
  <si>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</si>
  <si>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</si>
  <si>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</si>
  <si>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</si>
  <si>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</si>
  <si>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</si>
  <si>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</si>
  <si>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</si>
  <si>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</si>
  <si>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</si>
  <si>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</si>
  <si>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</si>
  <si>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</si>
  <si>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</si>
  <si>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</si>
  <si>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</si>
  <si>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</si>
  <si>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</si>
  <si>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</si>
  <si>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</si>
  <si>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</si>
  <si>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</si>
  <si>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</si>
  <si>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</si>
  <si>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</si>
  <si>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</si>
  <si>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</si>
  <si>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</si>
  <si>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</si>
  <si>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</si>
  <si>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</si>
  <si>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</si>
  <si>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</si>
  <si>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</si>
  <si>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</si>
  <si>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</si>
  <si>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</si>
  <si>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</si>
  <si>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</si>
  <si>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</si>
  <si>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</si>
  <si>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GONSPX</t>
  </si>
  <si>
    <t xml:space="preserve">PHOSPX</t>
  </si>
  <si>
    <t xml:space="preserve">SPISPX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</si>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</sst>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BAURO_21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42206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11.75</v>
      </c>
      <c r="N5" s="51"/>
      <c r="O5" s="52" t="s">
        <v>16</v>
      </c>
      <c r="P5" s="53" t="n">
        <v>11.5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15</v>
      </c>
      <c r="C7" s="69" t="n">
        <v>85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11.6666666666667</v>
      </c>
      <c r="P8" s="83" t="n">
        <f aca="false">IF(ISERROR(AVERAGE(K23:K82)),"  ",AVERAGE(K23:K82))</f>
        <v>1.66666666666667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1.61</v>
      </c>
      <c r="C9" s="86" t="n">
        <v>1.1</v>
      </c>
      <c r="D9" s="87"/>
      <c r="E9" s="87"/>
      <c r="F9" s="88" t="n">
        <f aca="false">($B9*$B$7+$C9*$C$7)/100</f>
        <v>1.1765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1.24721912892465</v>
      </c>
      <c r="P9" s="83" t="n">
        <f aca="false">IF(ISERROR(STDEVP(K23:K82)),"  ",STDEVP(K23:K82))</f>
        <v>0.471404520791032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10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13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1.61</v>
      </c>
      <c r="C12" s="111" t="n">
        <v>1.1</v>
      </c>
      <c r="D12" s="87"/>
      <c r="E12" s="87"/>
      <c r="F12" s="104" t="n">
        <f aca="false">($B12*$B$7+$C12*$C$7)/100</f>
        <v>1.1765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4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/>
      <c r="C13" s="111"/>
      <c r="D13" s="87"/>
      <c r="E13" s="87"/>
      <c r="F13" s="104" t="n">
        <f aca="false">($B13*$B$7+$C13*$C$7)/100</f>
        <v>0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0</v>
      </c>
      <c r="M13" s="108"/>
      <c r="N13" s="116" t="s">
        <v>41</v>
      </c>
      <c r="O13" s="117" t="n">
        <f aca="false">COUNTIF(F23:F82,"&gt;0")</f>
        <v>4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3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1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1.61</v>
      </c>
      <c r="C17" s="111" t="n">
        <v>1.1</v>
      </c>
      <c r="D17" s="87"/>
      <c r="E17" s="87"/>
      <c r="F17" s="129"/>
      <c r="G17" s="130" t="n">
        <f aca="false">($B17*$B$7+$C17*$C$7)/100</f>
        <v>1.1765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0.75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1.1765</v>
      </c>
      <c r="G19" s="150" t="n">
        <f aca="false">SUM(G16:G18)</f>
        <v>1.1765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1.51</v>
      </c>
      <c r="C20" s="160" t="n">
        <f aca="false">SUM(C23:C62)</f>
        <v>1.1</v>
      </c>
      <c r="D20" s="161"/>
      <c r="E20" s="162" t="s">
        <v>54</v>
      </c>
      <c r="F20" s="163" t="n">
        <f aca="false">($B20*$B$7+$C20*$C$7)/100</f>
        <v>1.1615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0.2265</v>
      </c>
      <c r="C21" s="171" t="n">
        <f aca="false">C20*C7/100</f>
        <v>0.935</v>
      </c>
      <c r="D21" s="172" t="s">
        <v>57</v>
      </c>
      <c r="E21" s="173"/>
      <c r="F21" s="174" t="n">
        <f aca="false">B21+C21</f>
        <v>1.1615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16</v>
      </c>
      <c r="B23" s="199" t="n">
        <v>0.1</v>
      </c>
      <c r="C23" s="200" t="n">
        <v>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Diatoma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0.865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12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Diatoma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6627</v>
      </c>
      <c r="R23" s="211" t="n">
        <f aca="false">IF(ISTEXT(H23),"",(B23*$B$7/100)+(C23*$C$7/100))</f>
        <v>0.865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24</v>
      </c>
      <c r="U23" s="212" t="n">
        <f aca="false">IF(ISERROR(S23*J23*K23),0,S23*J23*K23)</f>
        <v>48</v>
      </c>
      <c r="V23" s="212" t="n">
        <f aca="false">IF(ISERROR(S23*K23),0,S23*K23)</f>
        <v>4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DIASPX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40</v>
      </c>
    </row>
    <row r="24" customFormat="false" ht="12.75" hidden="false" customHeight="false" outlineLevel="0" collapsed="false">
      <c r="A24" s="216" t="s">
        <v>80</v>
      </c>
      <c r="B24" s="217" t="n">
        <v>0.1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Gongrosira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0.015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str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nc</v>
      </c>
      <c r="K24" s="224" t="str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nc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Gongrosira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30105</v>
      </c>
      <c r="R24" s="211" t="n">
        <f aca="false">IF(ISTEXT(H24),"",(B24*$B$7/100)+(C24*$C$7/100))</f>
        <v>0.015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0</v>
      </c>
      <c r="U24" s="212" t="n">
        <f aca="false">IF(ISERROR(S24*J24*K24),0,S24*J24*K24)</f>
        <v>0</v>
      </c>
      <c r="V24" s="228" t="n">
        <f aca="false">IF(ISERROR(S24*K24),0,S24*K24)</f>
        <v>0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GONSPX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50</v>
      </c>
    </row>
    <row r="25" customFormat="false" ht="12.75" hidden="false" customHeight="false" outlineLevel="0" collapsed="false">
      <c r="A25" s="216" t="s">
        <v>81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Phormidium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0.0015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13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Phormidium sp.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6414</v>
      </c>
      <c r="R25" s="211" t="n">
        <f aca="false">IF(ISTEXT(H25),"",(B25*$B$7/100)+(C25*$C$7/100))</f>
        <v>0.0015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13</v>
      </c>
      <c r="U25" s="212" t="n">
        <f aca="false">IF(ISERROR(S25*J25*K25),0,S25*J25*K25)</f>
        <v>26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PHOSPX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88</v>
      </c>
    </row>
    <row r="26" customFormat="false" ht="12.75" hidden="false" customHeight="false" outlineLevel="0" collapsed="false">
      <c r="A26" s="216" t="s">
        <v>82</v>
      </c>
      <c r="B26" s="217" t="n">
        <v>1.3</v>
      </c>
      <c r="C26" s="218" t="n">
        <v>0.1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Spirogyra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0.28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10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Spirogyra sp.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1147</v>
      </c>
      <c r="R26" s="211" t="n">
        <f aca="false">IF(ISTEXT(H26),"",(B26*$B$7/100)+(C26*$C$7/100))</f>
        <v>0.28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20</v>
      </c>
      <c r="U26" s="212" t="n">
        <f aca="false">IF(ISERROR(S26*J26*K26),0,S26*J26*K26)</f>
        <v>20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SPISPX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102</v>
      </c>
    </row>
    <row r="27" customFormat="false" ht="12.75" hidden="false" customHeight="false" outlineLevel="0" collapsed="false">
      <c r="A27" s="216"/>
      <c r="B27" s="217"/>
      <c r="C27" s="218"/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/>
      </c>
      <c r="E27" s="220" t="n">
        <f aca="false">IF(D27="",0,VLOOKUP(D27,D$22:D26,1,0))</f>
        <v>0</v>
      </c>
      <c r="F27" s="221" t="str">
        <f aca="false">IF(AND(OR(A27="",A27="!!!!!!"),B27="",C27=""),"",IF(OR(AND(B27="",C27=""),ISERROR(C27+B27)),"!!!",($B27*$B$7+$C27*$C$7)/100))</f>
        <v/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/>
      </c>
      <c r="H27" s="223" t="str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x</v>
      </c>
      <c r="I27" s="8" t="str">
        <f aca="false">IF(A27="","",1)</f>
        <v/>
      </c>
      <c r="J27" s="224" t="str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nu</v>
      </c>
      <c r="K27" s="224" t="str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nu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/>
      </c>
      <c r="M27" s="225"/>
      <c r="N27" s="225"/>
      <c r="O27" s="225"/>
      <c r="P27" s="226" t="s">
        <v>79</v>
      </c>
      <c r="Q27" s="227" t="str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/>
      </c>
      <c r="R27" s="211" t="str">
        <f aca="false">IF(ISTEXT(H27),"",(B27*$B$7/100)+(C27*$C$7/100))</f>
        <v/>
      </c>
      <c r="S27" s="212" t="str">
        <f aca="false">IF(OR(ISTEXT(H27),R27=0),"",IF(R27&lt;0.1,1,IF(R27&lt;1,2,IF(R27&lt;10,3,IF(R27&lt;50,4,IF(R27&gt;=50,5,""))))))</f>
        <v/>
      </c>
      <c r="T27" s="212" t="n">
        <f aca="false">IF(ISERROR(S27*J27),0,S27*J27)</f>
        <v>0</v>
      </c>
      <c r="U27" s="212" t="n">
        <f aca="false">IF(ISERROR(S27*J27*K27),0,S27*J27*K27)</f>
        <v>0</v>
      </c>
      <c r="V27" s="228" t="n">
        <f aca="false">IF(ISERROR(S27*K27),0,S27*K27)</f>
        <v>0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/>
      </c>
      <c r="Z27" s="197" t="str">
        <f aca="false">IF(ISERROR(MATCH(A27,'[1]liste reference'!$A$6:$A$1174,0)),IF(ISERROR(MATCH(A27,'[1]liste reference'!$B$6:$B$1174,0)),"",(MATCH(A27,'[1]liste reference'!$B$6:$B$1174,0))),(MATCH(A27,'[1]liste reference'!$A$6:$A$1174,0)))</f>
        <v/>
      </c>
    </row>
    <row r="28" customFormat="false" ht="12.75" hidden="false" customHeight="false" outlineLevel="0" collapsed="false">
      <c r="A28" s="216"/>
      <c r="B28" s="217"/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str">
        <f aca="false">IF(AND(OR(A28="",A28="!!!!!!"),B28="",C28=""),"",IF(OR(AND(B28="",C28=""),ISERROR(C28+B28)),"!!!",($B28*$B$7+$C28*$C$7)/100))</f>
        <v/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/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str">
        <f aca="false">IF(A28="","",1)</f>
        <v/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/>
      </c>
      <c r="M28" s="225"/>
      <c r="N28" s="225"/>
      <c r="O28" s="225"/>
      <c r="P28" s="226" t="s">
        <v>79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/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/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79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79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79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79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79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79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79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79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79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79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1.1615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8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BAUME</v>
      </c>
      <c r="B84" s="180" t="str">
        <f aca="false">C3</f>
        <v>BAUME A ROSIERES 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11.75</v>
      </c>
      <c r="E84" s="254" t="n">
        <f aca="false">O13</f>
        <v>4</v>
      </c>
      <c r="F84" s="180" t="n">
        <f aca="false">O14</f>
        <v>3</v>
      </c>
      <c r="G84" s="180" t="n">
        <f aca="false">O15</f>
        <v>1</v>
      </c>
      <c r="H84" s="180" t="n">
        <f aca="false">O16</f>
        <v>2</v>
      </c>
      <c r="I84" s="180" t="n">
        <f aca="false">O17</f>
        <v>0</v>
      </c>
      <c r="J84" s="255" t="n">
        <f aca="false">O8</f>
        <v>11.6666666666667</v>
      </c>
      <c r="K84" s="256" t="n">
        <f aca="false">O9</f>
        <v>1.24721912892465</v>
      </c>
      <c r="L84" s="257" t="n">
        <f aca="false">O10</f>
        <v>10</v>
      </c>
      <c r="M84" s="257" t="n">
        <f aca="false">O11</f>
        <v>13</v>
      </c>
      <c r="N84" s="256" t="n">
        <f aca="false">P8</f>
        <v>1.66666666666667</v>
      </c>
      <c r="O84" s="256" t="n">
        <f aca="false">P9</f>
        <v>0.471404520791032</v>
      </c>
      <c r="P84" s="257" t="n">
        <f aca="false">P10</f>
        <v>1</v>
      </c>
      <c r="Q84" s="257" t="n">
        <f aca="false">P11</f>
        <v>2</v>
      </c>
      <c r="R84" s="257" t="n">
        <f aca="false">F21</f>
        <v>1.1615</v>
      </c>
      <c r="S84" s="257" t="n">
        <f aca="false">L11</f>
        <v>0</v>
      </c>
      <c r="T84" s="257" t="n">
        <f aca="false">L12</f>
        <v>4</v>
      </c>
      <c r="U84" s="257" t="n">
        <f aca="false">L13</f>
        <v>0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83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84</v>
      </c>
      <c r="S87" s="8"/>
      <c r="T87" s="263" t="n">
        <f aca="false">VLOOKUP($T$91,($A$23:$U$82),20,FALSE())</f>
        <v>24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85</v>
      </c>
      <c r="S88" s="8"/>
      <c r="T88" s="263" t="n">
        <f aca="false">VLOOKUP($T$91,($A$23:$U$82),21,FALSE())</f>
        <v>48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86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87</v>
      </c>
      <c r="S90" s="8" t="s">
        <v>10</v>
      </c>
      <c r="T90" s="264" t="n">
        <f aca="false">IF(OR(ISERROR(SUM($U$23:$U$82)/SUM($V$23:$V$82)),F7&lt;&gt;100),-1,(SUM($U$23:$U$82)-T88)/(SUM($V$23:$V$82)-T89))</f>
        <v>11.5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88</v>
      </c>
      <c r="S91" s="212"/>
      <c r="T91" s="212" t="str">
        <f aca="false">INDEX('[1]liste reference'!$A$6:$A$1174,$U$91)</f>
        <v>DIASPX</v>
      </c>
      <c r="U91" s="8" t="n">
        <f aca="false">IF(ISERROR(MATCH($T$93,'[1]liste reference'!$A$6:$A$1174,0)),MATCH($T$93,'[1]liste reference'!$B$6:$B$1174,0),(MATCH($T$93,'[1]liste reference'!$A$6:$A$1174,0)))</f>
        <v>40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89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90</v>
      </c>
      <c r="S93" s="8"/>
      <c r="T93" s="212" t="str">
        <f aca="false">INDEX($A$23:$A$82,$T$92)</f>
        <v>DIASPX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password="c39f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2016-04-04T12:09:52Z</dcterms:created>
  <dc:creator>laurianne isebe</dc:creator>
  <dc:description/>
  <dc:language>fr-FR</dc:language>
  <cp:lastModifiedBy>laurianne isebe</cp:lastModifiedBy>
  <dcterms:modified xsi:type="dcterms:W3CDTF">2016-04-04T12:09:56Z</dcterms:modified>
  <cp:revision>0</cp:revision>
  <dc:subject/>
  <dc:title/>
</cp:coreProperties>
</file>