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<sst xmlns="http://schemas.openxmlformats.org/spreadsheetml/2006/main" count="109" uniqueCount="105">
  <si>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</si>
  <si>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</si>
  <si>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</si>
  <si>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C.BERNARD L.BOURGOIN</t>
  </si>
  <si>
    <t xml:space="preserve">conforme AFNOR T90-395 oct. 2003</t>
  </si>
  <si>
    <t xml:space="preserve">Roubion</t>
  </si>
  <si>
    <t xml:space="preserve">Roubion à Montélimar</t>
  </si>
  <si>
    <t xml:space="preserve">06580316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</si>
  <si>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</si>
  <si>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</si>
  <si>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</si>
  <si>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</si>
  <si>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</si>
  <si>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</si>
  <si>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</si>
  <si>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</si>
  <si>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DIASPX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</si>
  <si>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</si>
  <si>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</si>
  <si>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</si>
  <si>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</si>
  <si>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moyen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</si>
  <si>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</si>
  <si>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</si>
  <si>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</si>
  <si>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</si>
  <si>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</si>
  <si>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</si>
  <si>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</si>
  <si>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</si>
  <si>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</si>
  <si>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</si>
  <si>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</si>
  <si>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</si>
  <si>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</si>
  <si>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</si>
  <si>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</si>
  <si>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</si>
  <si>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</si>
  <si>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</si>
  <si>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</si>
  <si>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</si>
  <si>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</si>
  <si>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</si>
  <si>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</si>
  <si>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</si>
  <si>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</si>
  <si>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</si>
  <si>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</si>
  <si>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</si>
  <si>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</si>
  <si>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</si>
  <si>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</si>
  <si>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</si>
  <si>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</si>
  <si>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</si>
  <si>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</si>
  <si>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</si>
  <si>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</si>
  <si>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</si>
  <si>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</si>
  <si>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</si>
  <si>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</si>
  <si>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</si>
  <si>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</si>
  <si>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</si>
  <si>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</si>
  <si>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</si>
  <si>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</si>
  <si>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</si>
  <si>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</si>
  <si>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</si>
  <si>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</si>
  <si>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</si>
  <si>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</si>
  <si>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</si>
  <si>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</si>
  <si>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</si>
  <si>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</si>
  <si>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</si>
  <si>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PELEND</t>
  </si>
  <si>
    <t xml:space="preserve">AMBRIP</t>
  </si>
  <si>
    <t xml:space="preserve">CRAFIL</t>
  </si>
  <si>
    <t xml:space="preserve">FISCRA</t>
  </si>
  <si>
    <t xml:space="preserve">EQUSPX</t>
  </si>
  <si>
    <t xml:space="preserve">POTNOD</t>
  </si>
  <si>
    <t xml:space="preserve">ALIPLA</t>
  </si>
  <si>
    <t xml:space="preserve">CARSPX</t>
  </si>
  <si>
    <t xml:space="preserve">GLYFLU</t>
  </si>
  <si>
    <t xml:space="preserve">LYCEUR</t>
  </si>
  <si>
    <t xml:space="preserve">PHAARU</t>
  </si>
  <si>
    <t xml:space="preserve">SCPHOL</t>
  </si>
  <si>
    <t xml:space="preserve">SPAERE</t>
  </si>
  <si>
    <t xml:space="preserve">VERANA</t>
  </si>
  <si>
    <t xml:space="preserve">newcod</t>
  </si>
  <si>
    <t xml:space="preserve">Encyonema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</si>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</sst>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7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7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7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7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7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7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7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7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7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7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7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7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7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7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7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7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7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7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7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7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7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7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7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7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7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7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7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7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7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7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7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7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7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7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7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7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7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Users/imbert-l/AppData/Local/Temp/Temp1_IBMR_2013_rapports_reedites.zip/13011_ROUBIO_24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41449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10.1111111111111</v>
      </c>
      <c r="M5" s="53"/>
      <c r="N5" s="54" t="s">
        <v>16</v>
      </c>
      <c r="O5" s="55" t="n">
        <v>9.78260869565217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85</v>
      </c>
      <c r="C7" s="67" t="n">
        <v>15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10.0833333333333</v>
      </c>
      <c r="O8" s="84" t="n">
        <f aca="false">IF(ISERROR(AVERAGE(J23:J82)),"      -",AVERAGE(J23:J82))</f>
        <v>1.83333333333333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5.91</v>
      </c>
      <c r="C9" s="87" t="n">
        <v>3.42</v>
      </c>
      <c r="D9" s="88"/>
      <c r="E9" s="88"/>
      <c r="F9" s="89" t="n">
        <f aca="false">($B9*$B$7+$C9*$C$7)/100</f>
        <v>5.5365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3.77399729140808</v>
      </c>
      <c r="O9" s="84" t="n">
        <f aca="false">IF(ISERROR(STDEVP(J23:J82)),"      -",STDEVP(J23:J82))</f>
        <v>0.687184270936277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33</v>
      </c>
      <c r="D10" s="100"/>
      <c r="E10" s="100"/>
      <c r="F10" s="89"/>
      <c r="G10" s="90"/>
      <c r="H10" s="101"/>
      <c r="I10" s="102"/>
      <c r="J10" s="103" t="s">
        <v>34</v>
      </c>
      <c r="K10" s="103"/>
      <c r="L10" s="104"/>
      <c r="M10" s="105" t="s">
        <v>35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36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37</v>
      </c>
      <c r="J11" s="114"/>
      <c r="K11" s="115" t="n">
        <f aca="false">COUNTIF($G$23:$G$82,"=HET")</f>
        <v>0</v>
      </c>
      <c r="L11" s="116"/>
      <c r="M11" s="105" t="s">
        <v>38</v>
      </c>
      <c r="N11" s="106" t="n">
        <f aca="false">MAX(I23:I82)</f>
        <v>18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39</v>
      </c>
      <c r="B12" s="118" t="n">
        <v>5.91</v>
      </c>
      <c r="C12" s="119" t="n">
        <v>1.5</v>
      </c>
      <c r="D12" s="111"/>
      <c r="E12" s="111"/>
      <c r="F12" s="112" t="n">
        <f aca="false">($B12*$B$7+$C12*$C$7)/100</f>
        <v>5.2485</v>
      </c>
      <c r="G12" s="120"/>
      <c r="H12" s="68"/>
      <c r="I12" s="121" t="s">
        <v>40</v>
      </c>
      <c r="J12" s="121"/>
      <c r="K12" s="115" t="n">
        <f aca="false">COUNTIF($G$23:$G$82,"=ALG")</f>
        <v>2</v>
      </c>
      <c r="L12" s="122"/>
      <c r="M12" s="123"/>
      <c r="N12" s="124" t="s">
        <v>34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41</v>
      </c>
      <c r="B13" s="118"/>
      <c r="C13" s="119" t="n">
        <v>0.05</v>
      </c>
      <c r="D13" s="111"/>
      <c r="E13" s="111"/>
      <c r="F13" s="112" t="n">
        <f aca="false">($B13*$B$7+$C13*$C$7)/100</f>
        <v>0.0075</v>
      </c>
      <c r="G13" s="120"/>
      <c r="H13" s="68"/>
      <c r="I13" s="121" t="s">
        <v>42</v>
      </c>
      <c r="J13" s="121"/>
      <c r="K13" s="115" t="n">
        <f aca="false">COUNTIF($G$23:$G$82,"=BRm")+COUNTIF($G$23:$G$82,"=BRh")</f>
        <v>4</v>
      </c>
      <c r="L13" s="116"/>
      <c r="M13" s="127" t="s">
        <v>43</v>
      </c>
      <c r="N13" s="128" t="n">
        <f aca="false">COUNTIF(F23:F82,"&gt;0")</f>
        <v>17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44</v>
      </c>
      <c r="B14" s="118"/>
      <c r="C14" s="119" t="n">
        <v>0.01</v>
      </c>
      <c r="D14" s="111"/>
      <c r="E14" s="111"/>
      <c r="F14" s="112" t="n">
        <f aca="false">($B14*$B$7+$C14*$C$7)/100</f>
        <v>0.0015</v>
      </c>
      <c r="G14" s="120"/>
      <c r="H14" s="68"/>
      <c r="I14" s="121" t="s">
        <v>45</v>
      </c>
      <c r="J14" s="121"/>
      <c r="K14" s="115" t="n">
        <f aca="false">COUNTIF($G$23:$G$82,"=PTE")+COUNTIF($G$23:$G$82,"=LIC")</f>
        <v>1</v>
      </c>
      <c r="L14" s="116"/>
      <c r="M14" s="131" t="s">
        <v>46</v>
      </c>
      <c r="N14" s="132" t="n">
        <f aca="false">COUNTIF($I$23:$I$82,"&gt;-1")</f>
        <v>12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47</v>
      </c>
      <c r="B15" s="135"/>
      <c r="C15" s="136" t="n">
        <v>1.86</v>
      </c>
      <c r="D15" s="111"/>
      <c r="E15" s="111"/>
      <c r="F15" s="112" t="n">
        <f aca="false">($B15*$B$7+$C15*$C$7)/100</f>
        <v>0.279</v>
      </c>
      <c r="G15" s="120"/>
      <c r="H15" s="68"/>
      <c r="I15" s="121" t="s">
        <v>48</v>
      </c>
      <c r="J15" s="121"/>
      <c r="K15" s="115" t="n">
        <f aca="false">(COUNTIF($G$23:$G$82,"=PHy"))+(COUNTIF($G$23:$G$82,"=PHe"))+(COUNTIF($G$23:$G$82,"=PHg"))+(COUNTIF($G$23:$G$82,"=PHx"))</f>
        <v>9</v>
      </c>
      <c r="L15" s="116"/>
      <c r="M15" s="137" t="s">
        <v>49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50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51</v>
      </c>
      <c r="N16" s="138" t="n">
        <f aca="false">COUNTIF(J23:J82,"=2")</f>
        <v>6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52</v>
      </c>
      <c r="B17" s="118" t="n">
        <v>5.91</v>
      </c>
      <c r="C17" s="119" t="n">
        <v>1.55</v>
      </c>
      <c r="D17" s="111"/>
      <c r="E17" s="111"/>
      <c r="F17" s="143"/>
      <c r="G17" s="112" t="n">
        <f aca="false">($B17*$B$7+$C17*$C$7)/100</f>
        <v>5.256</v>
      </c>
      <c r="H17" s="68"/>
      <c r="I17" s="121"/>
      <c r="J17" s="121"/>
      <c r="K17" s="142"/>
      <c r="L17" s="116"/>
      <c r="M17" s="137" t="s">
        <v>53</v>
      </c>
      <c r="N17" s="138" t="n">
        <f aca="false">COUNTIF(J23:J82,"=3")</f>
        <v>2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54</v>
      </c>
      <c r="B18" s="145"/>
      <c r="C18" s="146" t="n">
        <v>1.87</v>
      </c>
      <c r="D18" s="111"/>
      <c r="E18" s="147" t="s">
        <v>55</v>
      </c>
      <c r="F18" s="143"/>
      <c r="G18" s="112" t="n">
        <f aca="false">($B18*$B$7+$C18*$C$7)/100</f>
        <v>0.2805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5.5365</v>
      </c>
      <c r="G19" s="156" t="n">
        <f aca="false">SUM(G16:G18)</f>
        <v>5.5365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56</v>
      </c>
      <c r="B20" s="165" t="n">
        <f aca="false">SUM(B23:B82)</f>
        <v>5.91</v>
      </c>
      <c r="C20" s="166" t="n">
        <f aca="false">SUM(C23:C82)</f>
        <v>3.42</v>
      </c>
      <c r="D20" s="167"/>
      <c r="E20" s="168" t="s">
        <v>55</v>
      </c>
      <c r="F20" s="169" t="n">
        <f aca="false">($B20*$B$7+$C20*$C$7)/100</f>
        <v>5.5365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57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58</v>
      </c>
      <c r="B21" s="179" t="n">
        <f aca="false">B20*B7/100</f>
        <v>5.0235</v>
      </c>
      <c r="C21" s="179" t="n">
        <f aca="false">C20*C7/100</f>
        <v>0.513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5.5365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59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60</v>
      </c>
      <c r="B22" s="190" t="s">
        <v>61</v>
      </c>
      <c r="C22" s="191" t="s">
        <v>61</v>
      </c>
      <c r="D22" s="140"/>
      <c r="E22" s="140"/>
      <c r="F22" s="192" t="s">
        <v>62</v>
      </c>
      <c r="G22" s="193" t="s">
        <v>63</v>
      </c>
      <c r="H22" s="140"/>
      <c r="I22" s="194" t="s">
        <v>64</v>
      </c>
      <c r="J22" s="194" t="s">
        <v>65</v>
      </c>
      <c r="K22" s="195" t="s">
        <v>66</v>
      </c>
      <c r="L22" s="195"/>
      <c r="M22" s="195"/>
      <c r="N22" s="195"/>
      <c r="O22" s="195"/>
      <c r="P22" s="196" t="s">
        <v>67</v>
      </c>
      <c r="Q22" s="197" t="s">
        <v>68</v>
      </c>
      <c r="R22" s="198" t="s">
        <v>69</v>
      </c>
      <c r="S22" s="199" t="s">
        <v>70</v>
      </c>
      <c r="T22" s="200" t="s">
        <v>71</v>
      </c>
      <c r="U22" s="201" t="s">
        <v>72</v>
      </c>
      <c r="V22" s="199" t="s">
        <v>73</v>
      </c>
      <c r="Y22" s="10" t="s">
        <v>74</v>
      </c>
      <c r="Z22" s="10" t="s">
        <v>75</v>
      </c>
      <c r="AA22" s="202" t="s">
        <v>76</v>
      </c>
      <c r="AB22" s="202" t="s">
        <v>77</v>
      </c>
      <c r="AC22" s="203" t="s">
        <v>78</v>
      </c>
    </row>
    <row r="23" customFormat="false" ht="12.75" hidden="false" customHeight="false" outlineLevel="0" collapsed="false">
      <c r="A23" s="204" t="s">
        <v>79</v>
      </c>
      <c r="B23" s="205" t="n">
        <v>4.75</v>
      </c>
      <c r="C23" s="206" t="n">
        <v>1.5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4.2625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6" t="n">
        <f aca="false">IF(ISTEXT(H23),"",(B23*$B$7/100)+(C23*$C$7/100))</f>
        <v>4.2625</v>
      </c>
      <c r="R23" s="217" t="n">
        <f aca="false">IF(OR(ISTEXT(H23),Q23=0),"",IF(Q23&lt;0.1,1,IF(Q23&lt;1,2,IF(Q23&lt;10,3,IF(Q23&lt;50,4,IF(Q23&gt;=50,5,""))))))</f>
        <v>3</v>
      </c>
      <c r="S23" s="217" t="n">
        <f aca="false">IF(ISERROR(R23*I23),0,R23*I23)</f>
        <v>18</v>
      </c>
      <c r="T23" s="217" t="n">
        <f aca="false">IF(ISERROR(R23*I23*J23),0,R23*I23*J23)</f>
        <v>18</v>
      </c>
      <c r="U23" s="217" t="n">
        <f aca="false">IF(ISERROR(R23*J23),0,R23*J23)</f>
        <v>3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16</v>
      </c>
      <c r="B24" s="224" t="n">
        <v>1.15</v>
      </c>
      <c r="C24" s="225" t="n">
        <v>0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Diatoma sp.</v>
      </c>
      <c r="E24" s="226" t="e">
        <f aca="false">IF(D24="",0,VLOOKUP(D24,D$22:D23,1,0))</f>
        <v>#N/A</v>
      </c>
      <c r="F24" s="227" t="n">
        <f aca="false">($B24*$B$7+$C24*$C$7)/100</f>
        <v>0.9775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12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Diatoma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6627</v>
      </c>
      <c r="Q24" s="216" t="n">
        <f aca="false">IF(ISTEXT(H24),"",(B24*$B$7/100)+(C24*$C$7/100))</f>
        <v>0.9775</v>
      </c>
      <c r="R24" s="217" t="n">
        <f aca="false">IF(OR(ISTEXT(H24),Q24=0),"",IF(Q24&lt;0.1,1,IF(Q24&lt;1,2,IF(Q24&lt;10,3,IF(Q24&lt;50,4,IF(Q24&gt;=50,5,""))))))</f>
        <v>2</v>
      </c>
      <c r="S24" s="217" t="n">
        <f aca="false">IF(ISERROR(R24*I24),0,R24*I24)</f>
        <v>24</v>
      </c>
      <c r="T24" s="217" t="n">
        <f aca="false">IF(ISERROR(R24*I24*J24),0,R24*I24*J24)</f>
        <v>48</v>
      </c>
      <c r="U24" s="229" t="n">
        <f aca="false">IF(ISERROR(R24*J24),0,R24*J24)</f>
        <v>4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DIASPX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26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</v>
      </c>
      <c r="C25" s="225" t="n">
        <v>0.01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Pellia endiviifolia</v>
      </c>
      <c r="E25" s="226" t="e">
        <f aca="false">IF(D25="",0,VLOOKUP(D25,D$22:D24,1,0))</f>
        <v>#N/A</v>
      </c>
      <c r="F25" s="227" t="n">
        <f aca="false">($B25*$B$7+$C25*$C$7)/100</f>
        <v>0.0015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BRh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4</v>
      </c>
      <c r="I25" s="211" t="str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/>
      </c>
      <c r="J25" s="211" t="str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/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Pellia endiviifolia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1197</v>
      </c>
      <c r="Q25" s="216" t="n">
        <f aca="false">IF(ISTEXT(H25),"",(B25*$B$7/100)+(C25*$C$7/100))</f>
        <v>0.0015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0</v>
      </c>
      <c r="T25" s="217" t="n">
        <f aca="false">IF(ISERROR(R25*I25*J25),0,R25*I25*J25)</f>
        <v>0</v>
      </c>
      <c r="U25" s="229" t="n">
        <f aca="false">IF(ISERROR(R25*J25),0,R25*J25)</f>
        <v>0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PELEND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120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</v>
      </c>
      <c r="C26" s="225" t="n">
        <v>0.01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Amblystegium riparium</v>
      </c>
      <c r="E26" s="226" t="e">
        <f aca="false">IF(D26="",0,VLOOKUP(D26,D$22:D25,1,0))</f>
        <v>#N/A</v>
      </c>
      <c r="F26" s="227" t="n">
        <f aca="false">($B26*$B$7+$C26*$C$7)/100</f>
        <v>0.0015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BRm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5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5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Amblystegium riparium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1219</v>
      </c>
      <c r="Q26" s="216" t="n">
        <f aca="false">IF(ISTEXT(H26),"",(B26*$B$7/100)+(C26*$C$7/100))</f>
        <v>0.0015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5</v>
      </c>
      <c r="T26" s="217" t="n">
        <f aca="false">IF(ISERROR(R26*I26*J26),0,R26*I26*J26)</f>
        <v>10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AMBRIP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148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</v>
      </c>
      <c r="C27" s="225" t="n">
        <v>0.01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Cratoneuron filicinum</v>
      </c>
      <c r="E27" s="226" t="e">
        <f aca="false">IF(D27="",0,VLOOKUP(D27,D$22:D26,1,0))</f>
        <v>#N/A</v>
      </c>
      <c r="F27" s="227" t="n">
        <f aca="false">($B27*$B$7+$C27*$C$7)/100</f>
        <v>0.0015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BRm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5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18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3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Cratoneuron filicinum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1233</v>
      </c>
      <c r="Q27" s="216" t="n">
        <f aca="false">IF(ISTEXT(H27),"",(B27*$B$7/100)+(C27*$C$7/100))</f>
        <v>0.0015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18</v>
      </c>
      <c r="T27" s="217" t="n">
        <f aca="false">IF(ISERROR(R27*I27*J27),0,R27*I27*J27)</f>
        <v>54</v>
      </c>
      <c r="U27" s="229" t="n">
        <f aca="false">IF(ISERROR(R27*J27),0,R27*J27)</f>
        <v>3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CRAFIL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178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0</v>
      </c>
      <c r="C28" s="225" t="n">
        <v>0.02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Fissidens crassipes</v>
      </c>
      <c r="E28" s="226" t="e">
        <f aca="false">IF(D28="",0,VLOOKUP(D28,D$22:D27,1,0))</f>
        <v>#N/A</v>
      </c>
      <c r="F28" s="227" t="n">
        <f aca="false">($B28*$B$7+$C28*$C$7)/100</f>
        <v>0.003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12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Fissidens crassipes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1294</v>
      </c>
      <c r="Q28" s="216" t="n">
        <f aca="false">IF(ISTEXT(H28),"",(B28*$B$7/100)+(C28*$C$7/100))</f>
        <v>0.003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12</v>
      </c>
      <c r="T28" s="217" t="n">
        <f aca="false">IF(ISERROR(R28*I28*J28),0,R28*I28*J28)</f>
        <v>24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FISCRA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197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84</v>
      </c>
      <c r="B29" s="224" t="n">
        <v>0</v>
      </c>
      <c r="C29" s="225" t="n">
        <v>0.01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Equisetum sp.</v>
      </c>
      <c r="E29" s="226" t="e">
        <f aca="false">IF(D29="",0,VLOOKUP(D29,D$22:D28,1,0))</f>
        <v>#N/A</v>
      </c>
      <c r="F29" s="227" t="n">
        <f aca="false">($B29*$B$7+$C29*$C$7)/100</f>
        <v>0.0015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PTE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6</v>
      </c>
      <c r="I29" s="211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1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Equisetum sp.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1383</v>
      </c>
      <c r="Q29" s="216" t="n">
        <f aca="false">IF(ISTEXT(H29),"",(B29*$B$7/100)+(C29*$C$7/100))</f>
        <v>0.0015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0</v>
      </c>
      <c r="T29" s="217" t="n">
        <f aca="false">IF(ISERROR(R29*I29*J29),0,R29*I29*J29)</f>
        <v>0</v>
      </c>
      <c r="U29" s="229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EQUSPX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283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85</v>
      </c>
      <c r="B30" s="224" t="n">
        <v>0</v>
      </c>
      <c r="C30" s="225" t="n">
        <v>0.01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Potamogeton nodosus</v>
      </c>
      <c r="E30" s="226" t="e">
        <f aca="false">IF(D30="",0,VLOOKUP(D30,D$22:D29,1,0))</f>
        <v>#N/A</v>
      </c>
      <c r="F30" s="227" t="n">
        <f aca="false">($B30*$B$7+$C30*$C$7)/100</f>
        <v>0.0015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PHy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7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4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3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Potamogeton nodosus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1652</v>
      </c>
      <c r="Q30" s="216" t="n">
        <f aca="false">IF(ISTEXT(H30),"",(B30*$B$7/100)+(C30*$C$7/100))</f>
        <v>0.0015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4</v>
      </c>
      <c r="T30" s="217" t="n">
        <f aca="false">IF(ISERROR(R30*I30*J30),0,R30*I30*J30)</f>
        <v>12</v>
      </c>
      <c r="U30" s="229" t="n">
        <f aca="false">IF(ISERROR(R30*J30),0,R30*J30)</f>
        <v>3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POTNOD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418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86</v>
      </c>
      <c r="B31" s="224" t="n">
        <v>0</v>
      </c>
      <c r="C31" s="225" t="n">
        <v>0.01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Alisma plantago-aquatica</v>
      </c>
      <c r="E31" s="226" t="e">
        <f aca="false">IF(D31="",0,VLOOKUP(D31,D$22:D30,1,0))</f>
        <v>#N/A</v>
      </c>
      <c r="F31" s="227" t="n">
        <f aca="false">($B31*$B$7+$C31*$C$7)/100</f>
        <v>0.0015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PHe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8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8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Alisma plantago-aquatica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1447</v>
      </c>
      <c r="Q31" s="216" t="n">
        <f aca="false">IF(ISTEXT(H31),"",(B31*$B$7/100)+(C31*$C$7/100))</f>
        <v>0.0015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8</v>
      </c>
      <c r="T31" s="217" t="n">
        <f aca="false">IF(ISERROR(R31*I31*J31),0,R31*I31*J31)</f>
        <v>16</v>
      </c>
      <c r="U31" s="229" t="n">
        <f aca="false">IF(ISERROR(R31*J31),0,R31*J31)</f>
        <v>2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ALIPLA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517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87</v>
      </c>
      <c r="B32" s="224" t="n">
        <v>0</v>
      </c>
      <c r="C32" s="225" t="n">
        <v>0.01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Carex sp.</v>
      </c>
      <c r="E32" s="226" t="e">
        <f aca="false">IF(D32="",0,VLOOKUP(D32,D$22:D31,1,0))</f>
        <v>#N/A</v>
      </c>
      <c r="F32" s="227" t="n">
        <f aca="false">($B32*$B$7+$C32*$C$7)/100</f>
        <v>0.0015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PHe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8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Carex sp.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1466</v>
      </c>
      <c r="Q32" s="216" t="n">
        <f aca="false">IF(ISTEXT(H32),"",(B32*$B$7/100)+(C32*$C$7/100))</f>
        <v>0.0015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CARSPX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545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88</v>
      </c>
      <c r="B33" s="224" t="n">
        <v>0</v>
      </c>
      <c r="C33" s="225" t="n">
        <v>0.2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Glyceria fluitans</v>
      </c>
      <c r="E33" s="226" t="e">
        <f aca="false">IF(D33="",0,VLOOKUP(D33,D$22:D32,1,0))</f>
        <v>#N/A</v>
      </c>
      <c r="F33" s="227" t="n">
        <f aca="false">($B33*$B$7+$C33*$C$7)/100</f>
        <v>0.03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PHe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8</v>
      </c>
      <c r="I33" s="211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14</v>
      </c>
      <c r="J33" s="211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2</v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Glyceria fluitans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1564</v>
      </c>
      <c r="Q33" s="216" t="n">
        <f aca="false">IF(ISTEXT(H33),"",(B33*$B$7/100)+(C33*$C$7/100))</f>
        <v>0.03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14</v>
      </c>
      <c r="T33" s="217" t="n">
        <f aca="false">IF(ISERROR(R33*I33*J33),0,R33*I33*J33)</f>
        <v>28</v>
      </c>
      <c r="U33" s="229" t="n">
        <f aca="false">IF(ISERROR(R33*J33),0,R33*J33)</f>
        <v>2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GLYFLU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575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89</v>
      </c>
      <c r="B34" s="224" t="n">
        <v>0</v>
      </c>
      <c r="C34" s="225" t="n">
        <v>0.01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Lycopus europaeus</v>
      </c>
      <c r="E34" s="226" t="e">
        <f aca="false">IF(D34="",0,VLOOKUP(D34,D$22:D33,1,0))</f>
        <v>#N/A</v>
      </c>
      <c r="F34" s="231" t="n">
        <f aca="false">($B34*$B$7+$C34*$C$7)/100</f>
        <v>0.0015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PHe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8</v>
      </c>
      <c r="I34" s="211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11</v>
      </c>
      <c r="J34" s="211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1</v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Lycopus europaeus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1789</v>
      </c>
      <c r="Q34" s="216" t="n">
        <f aca="false">IF(ISTEXT(H34),"",(B34*$B$7/100)+(C34*$C$7/100))</f>
        <v>0.0015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11</v>
      </c>
      <c r="T34" s="217" t="n">
        <f aca="false">IF(ISERROR(R34*I34*J34),0,R34*I34*J34)</f>
        <v>11</v>
      </c>
      <c r="U34" s="229" t="n">
        <f aca="false">IF(ISERROR(R34*J34),0,R34*J34)</f>
        <v>1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LYCEUR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596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90</v>
      </c>
      <c r="B35" s="224" t="n">
        <v>0</v>
      </c>
      <c r="C35" s="225" t="n">
        <v>0.01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Phalaris arundinacea</v>
      </c>
      <c r="E35" s="226" t="e">
        <f aca="false">IF(D35="",0,VLOOKUP(D35,D$22:D34,1,0))</f>
        <v>#N/A</v>
      </c>
      <c r="F35" s="231" t="n">
        <f aca="false">($B35*$B$7+$C35*$C$7)/100</f>
        <v>0.0015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PHe</v>
      </c>
      <c r="H35" s="210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8</v>
      </c>
      <c r="I35" s="211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10</v>
      </c>
      <c r="J35" s="211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1</v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Phalaris arundinacea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1577</v>
      </c>
      <c r="Q35" s="216" t="n">
        <f aca="false">IF(ISTEXT(H35),"",(B35*$B$7/100)+(C35*$C$7/100))</f>
        <v>0.0015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10</v>
      </c>
      <c r="T35" s="217" t="n">
        <f aca="false">IF(ISERROR(R35*I35*J35),0,R35*I35*J35)</f>
        <v>10</v>
      </c>
      <c r="U35" s="229" t="n">
        <f aca="false">IF(ISERROR(R35*J35),0,R35*J35)</f>
        <v>1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PHAARU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634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91</v>
      </c>
      <c r="B36" s="224" t="n">
        <v>0</v>
      </c>
      <c r="C36" s="225" t="n">
        <v>0.01</v>
      </c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Scirpoides holoschoenus</v>
      </c>
      <c r="E36" s="226" t="e">
        <f aca="false">IF(D36="",0,VLOOKUP(D36,D$22:D35,1,0))</f>
        <v>#N/A</v>
      </c>
      <c r="F36" s="231" t="n">
        <f aca="false">($B36*$B$7+$C36*$C$7)/100</f>
        <v>0.0015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PHe</v>
      </c>
      <c r="H36" s="210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8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Scirpoides holoschoenus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19685</v>
      </c>
      <c r="Q36" s="216" t="n">
        <f aca="false">IF(ISTEXT(H36),"",(B36*$B$7/100)+(C36*$C$7/100))</f>
        <v>0.0015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>SCPHOL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662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92</v>
      </c>
      <c r="B37" s="224" t="n">
        <v>0</v>
      </c>
      <c r="C37" s="225" t="n">
        <v>1.5</v>
      </c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Sparganium erectum</v>
      </c>
      <c r="E37" s="226" t="e">
        <f aca="false">IF(D37="",0,VLOOKUP(D37,D$22:D36,1,0))</f>
        <v>#N/A</v>
      </c>
      <c r="F37" s="231" t="n">
        <f aca="false">($B37*$B$7+$C37*$C$7)/100</f>
        <v>0.225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PHe</v>
      </c>
      <c r="H37" s="210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8</v>
      </c>
      <c r="I37" s="211" t="n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>10</v>
      </c>
      <c r="J37" s="211" t="n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>1</v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Sparganium erectum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1671</v>
      </c>
      <c r="Q37" s="216" t="n">
        <f aca="false">IF(ISTEXT(H37),"",(B37*$B$7/100)+(C37*$C$7/100))</f>
        <v>0.225</v>
      </c>
      <c r="R37" s="217" t="n">
        <f aca="false">IF(OR(ISTEXT(H37),Q37=0),"",IF(Q37&lt;0.1,1,IF(Q37&lt;1,2,IF(Q37&lt;10,3,IF(Q37&lt;50,4,IF(Q37&gt;=50,5,""))))))</f>
        <v>2</v>
      </c>
      <c r="S37" s="217" t="n">
        <f aca="false">IF(ISERROR(R37*I37),0,R37*I37)</f>
        <v>20</v>
      </c>
      <c r="T37" s="217" t="n">
        <f aca="false">IF(ISERROR(R37*I37*J37),0,R37*I37*J37)</f>
        <v>20</v>
      </c>
      <c r="U37" s="229" t="n">
        <f aca="false">IF(ISERROR(R37*J37),0,R37*J37)</f>
        <v>2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>SPAERE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668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93</v>
      </c>
      <c r="B38" s="224" t="n">
        <v>0</v>
      </c>
      <c r="C38" s="225" t="n">
        <v>0.1</v>
      </c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Veronica anagallis-aquatica</v>
      </c>
      <c r="E38" s="226" t="e">
        <f aca="false">IF(D38="",0,VLOOKUP(D38,D$22:D37,1,0))</f>
        <v>#N/A</v>
      </c>
      <c r="F38" s="231" t="n">
        <f aca="false">($B38*$B$7+$C38*$C$7)/100</f>
        <v>0.015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PHe</v>
      </c>
      <c r="H38" s="210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8</v>
      </c>
      <c r="I38" s="211" t="n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>11</v>
      </c>
      <c r="J38" s="211" t="n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>2</v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Veronica anagallis-aquatica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1955</v>
      </c>
      <c r="Q38" s="216" t="n">
        <f aca="false">IF(ISTEXT(H38),"",(B38*$B$7/100)+(C38*$C$7/100))</f>
        <v>0.015</v>
      </c>
      <c r="R38" s="217" t="n">
        <f aca="false">IF(OR(ISTEXT(H38),Q38=0),"",IF(Q38&lt;0.1,1,IF(Q38&lt;1,2,IF(Q38&lt;10,3,IF(Q38&lt;50,4,IF(Q38&gt;=50,5,""))))))</f>
        <v>1</v>
      </c>
      <c r="S38" s="217" t="n">
        <f aca="false">IF(ISERROR(R38*I38),0,R38*I38)</f>
        <v>11</v>
      </c>
      <c r="T38" s="217" t="n">
        <f aca="false">IF(ISERROR(R38*I38*J38),0,R38*I38*J38)</f>
        <v>22</v>
      </c>
      <c r="U38" s="229" t="n">
        <f aca="false">IF(ISERROR(R38*J38),0,R38*J38)</f>
        <v>2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>VERANA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682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94</v>
      </c>
      <c r="B39" s="224" t="n">
        <v>0.01</v>
      </c>
      <c r="C39" s="225" t="n">
        <v>0</v>
      </c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0.0085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    -</v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Encyonema</v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No</v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>newcod</v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 t="s">
        <v>95</v>
      </c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96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Roubion</v>
      </c>
      <c r="B84" s="259" t="str">
        <f aca="false">C3</f>
        <v>Roubion à Montélimar</v>
      </c>
      <c r="C84" s="260" t="n">
        <f aca="false">A4</f>
        <v>41449</v>
      </c>
      <c r="D84" s="261" t="n">
        <f aca="false">IF(ISERROR(SUM($T$23:$T$82)/SUM($U$23:$U$82)),"",SUM($T$23:$T$82)/SUM($U$23:$U$82))</f>
        <v>10.1111111111111</v>
      </c>
      <c r="E84" s="262" t="n">
        <f aca="false">N13</f>
        <v>17</v>
      </c>
      <c r="F84" s="259" t="n">
        <f aca="false">N14</f>
        <v>12</v>
      </c>
      <c r="G84" s="259" t="n">
        <f aca="false">N15</f>
        <v>4</v>
      </c>
      <c r="H84" s="259" t="n">
        <f aca="false">N16</f>
        <v>6</v>
      </c>
      <c r="I84" s="259" t="n">
        <f aca="false">N17</f>
        <v>2</v>
      </c>
      <c r="J84" s="263" t="n">
        <f aca="false">N8</f>
        <v>10.0833333333333</v>
      </c>
      <c r="K84" s="261" t="n">
        <f aca="false">N9</f>
        <v>3.77399729140808</v>
      </c>
      <c r="L84" s="262" t="n">
        <f aca="false">N10</f>
        <v>4</v>
      </c>
      <c r="M84" s="262" t="n">
        <f aca="false">N11</f>
        <v>18</v>
      </c>
      <c r="N84" s="261" t="n">
        <f aca="false">O8</f>
        <v>1.83333333333333</v>
      </c>
      <c r="O84" s="261" t="n">
        <f aca="false">O9</f>
        <v>0.687184270936277</v>
      </c>
      <c r="P84" s="262" t="n">
        <f aca="false">O10</f>
        <v>1</v>
      </c>
      <c r="Q84" s="262" t="n">
        <f aca="false">O11</f>
        <v>3</v>
      </c>
      <c r="R84" s="262" t="n">
        <f aca="false">F21</f>
        <v>5.5365</v>
      </c>
      <c r="S84" s="262" t="n">
        <f aca="false">K11</f>
        <v>0</v>
      </c>
      <c r="T84" s="262" t="n">
        <f aca="false">K12</f>
        <v>2</v>
      </c>
      <c r="U84" s="262" t="n">
        <f aca="false">K13</f>
        <v>4</v>
      </c>
      <c r="V84" s="264" t="n">
        <f aca="false">K14</f>
        <v>1</v>
      </c>
      <c r="W84" s="265" t="n">
        <f aca="false">K15</f>
        <v>9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97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98</v>
      </c>
      <c r="R87" s="10"/>
      <c r="S87" s="218" t="n">
        <f aca="false">VLOOKUP(MAX($S$23:$S$82),($S$23:$U$82),1,0)</f>
        <v>24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99</v>
      </c>
      <c r="R88" s="10"/>
      <c r="S88" s="218" t="n">
        <f aca="false">VLOOKUP((S87),($S$23:$U$82),2,0)</f>
        <v>48</v>
      </c>
      <c r="T88" s="10"/>
      <c r="U88" s="10"/>
      <c r="V88" s="10"/>
    </row>
    <row r="89" customFormat="false" ht="12.75" hidden="true" customHeight="false" outlineLevel="0" collapsed="false">
      <c r="Q89" s="10" t="s">
        <v>100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101</v>
      </c>
      <c r="R90" s="10"/>
      <c r="S90" s="268" t="n">
        <f aca="false">IF(ISERROR(SUM($T$23:$T$82)/SUM($U$23:$U$82)),"",(SUM($T$23:$T$82)-S88)/(SUM($U$23:$U$82)-S89))</f>
        <v>9.78260869565217</v>
      </c>
      <c r="T90" s="10"/>
    </row>
    <row r="91" customFormat="false" ht="12.75" hidden="false" customHeight="false" outlineLevel="0" collapsed="false">
      <c r="Q91" s="217" t="s">
        <v>102</v>
      </c>
      <c r="R91" s="217"/>
      <c r="S91" s="217" t="str">
        <f aca="false">INDEX('[1]liste reference'!$A$8:$A$904,$T$91)</f>
        <v>DIASPX</v>
      </c>
      <c r="T91" s="10" t="n">
        <f aca="false">IF(ISERROR(MATCH($S$93,'[1]liste reference'!$A$8:$A$904,0)),MATCH($S$93,'[1]liste reference'!$B$8:$B$904,0),(MATCH($S$93,'[1]liste reference'!$A$8:$A$904,0)))</f>
        <v>26</v>
      </c>
      <c r="U91" s="257"/>
    </row>
    <row r="92" customFormat="false" ht="12.75" hidden="false" customHeight="false" outlineLevel="0" collapsed="false">
      <c r="Q92" s="10" t="s">
        <v>103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7" t="s">
        <v>104</v>
      </c>
      <c r="R93" s="10"/>
      <c r="S93" s="217" t="str">
        <f aca="false">INDEX($A$23:$A$82,$S$92)</f>
        <v>DIASPX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2015-11-26T11:32:44Z</dcterms:created>
  <dc:creator>laurianne isebe</dc:creator>
  <dc:description/>
  <dc:language>fr-FR</dc:language>
  <cp:lastModifiedBy>IMBERT Loïc</cp:lastModifiedBy>
  <dcterms:modified xsi:type="dcterms:W3CDTF">2016-02-09T10:46:52Z</dcterms:modified>
  <cp:revision>0</cp:revision>
  <dc:subject/>
  <dc:title/>
</cp:coreProperties>
</file>