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<sst xmlns="http://schemas.openxmlformats.org/spreadsheetml/2006/main" count="169" uniqueCount="103">
  <si>
    <t xml:space="preserve">Relevés floristiques aquatiques - IBMR</t>
  </si>
  <si>
    <t xml:space="preserve">modèle Irstea-GIS</t>
  </si>
  <si>
    <t xml:space="preserve">SAGE ENVIRONNEMENT</t>
  </si>
  <si>
    <t xml:space="preserve">CBERNARD LBOURGOIN</t>
  </si>
  <si>
    <t xml:space="preserve">JABRON</t>
  </si>
  <si>
    <t xml:space="preserve">JABRON A MONTELIMAR</t>
  </si>
  <si>
    <t xml:space="preserve">06580330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</si>
  <si>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</si>
  <si>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</si>
  <si>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</si>
  <si>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</si>
  <si>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</si>
  <si>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</si>
  <si>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</si>
  <si>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</si>
  <si>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</si>
  <si>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CLASPX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</si>
  <si>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</si>
  <si>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</si>
  <si>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</si>
  <si>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</si>
  <si>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</si>
  <si>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</si>
  <si>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</si>
  <si>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</si>
  <si>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</si>
  <si>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</si>
  <si>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</si>
  <si>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</si>
  <si>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</si>
  <si>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</si>
  <si>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</si>
  <si>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</si>
  <si>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</si>
  <si>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</si>
  <si>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</si>
  <si>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</si>
  <si>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</si>
  <si>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</si>
  <si>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</si>
  <si>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</si>
  <si>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</si>
  <si>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</si>
  <si>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</si>
  <si>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</si>
  <si>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</si>
  <si>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</si>
  <si>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</si>
  <si>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</si>
  <si>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</si>
  <si>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</si>
  <si>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</si>
  <si>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</si>
  <si>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</si>
  <si>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</si>
  <si>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</si>
  <si>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</si>
  <si>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</si>
  <si>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</si>
  <si>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</si>
  <si>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</si>
  <si>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</si>
  <si>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</si>
  <si>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</si>
  <si>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</si>
  <si>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</si>
  <si>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</si>
  <si>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</si>
  <si>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</si>
  <si>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</si>
  <si>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</si>
  <si>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</si>
  <si>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</si>
  <si>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</si>
  <si>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</si>
  <si>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</si>
  <si>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</si>
  <si>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</si>
  <si>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</si>
  <si>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 -</t>
  </si>
  <si>
    <t xml:space="preserve">DIASPX</t>
  </si>
  <si>
    <t xml:space="preserve">MICSPX</t>
  </si>
  <si>
    <t xml:space="preserve">VAUSPX</t>
  </si>
  <si>
    <t xml:space="preserve">FISCRA</t>
  </si>
  <si>
    <t xml:space="preserve">HYATEN</t>
  </si>
  <si>
    <t xml:space="preserve">EQUPRA</t>
  </si>
  <si>
    <t xml:space="preserve">GLYFLU</t>
  </si>
  <si>
    <t xml:space="preserve">LYCEUR</t>
  </si>
  <si>
    <t xml:space="preserve">MENAQU</t>
  </si>
  <si>
    <t xml:space="preserve">MENLON</t>
  </si>
  <si>
    <t xml:space="preserve">PHAARU</t>
  </si>
  <si>
    <t xml:space="preserve">PHRAUS</t>
  </si>
  <si>
    <t xml:space="preserve">VERANA</t>
  </si>
  <si>
    <t xml:space="preserve">VERBEC</t>
  </si>
  <si>
    <t xml:space="preserve">LYTSAL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</si>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</sst>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JAMON_20-05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42144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10.6</v>
      </c>
      <c r="N5" s="51"/>
      <c r="O5" s="52" t="s">
        <v>16</v>
      </c>
      <c r="P5" s="53" t="n">
        <v>11.4761904761905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90</v>
      </c>
      <c r="C7" s="69" t="n">
        <v>10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10.6153846153846</v>
      </c>
      <c r="P8" s="83" t="n">
        <f aca="false">IF(ISERROR(AVERAGE(K23:K82)),"  ",AVERAGE(K23:K82))</f>
        <v>1.53846153846154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35.05</v>
      </c>
      <c r="C9" s="86" t="n">
        <v>10.17</v>
      </c>
      <c r="D9" s="87"/>
      <c r="E9" s="87"/>
      <c r="F9" s="88" t="n">
        <f aca="false">($B9*$B$7+$C9*$C$7)/100</f>
        <v>32.562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2.86996278556579</v>
      </c>
      <c r="P9" s="83" t="n">
        <f aca="false">IF(ISERROR(STDEVP(K23:K82)),"  ",STDEVP(K23:K82))</f>
        <v>0.498518515262143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35.01</v>
      </c>
      <c r="C12" s="111" t="n">
        <v>10.01</v>
      </c>
      <c r="D12" s="87"/>
      <c r="E12" s="87"/>
      <c r="F12" s="104" t="n">
        <f aca="false">($B12*$B$7+$C12*$C$7)/100</f>
        <v>32.51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4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 t="n">
        <v>0.06</v>
      </c>
      <c r="D13" s="87"/>
      <c r="E13" s="87"/>
      <c r="F13" s="104" t="n">
        <f aca="false">($B13*$B$7+$C13*$C$7)/100</f>
        <v>0.006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2</v>
      </c>
      <c r="M13" s="108"/>
      <c r="N13" s="116" t="s">
        <v>41</v>
      </c>
      <c r="O13" s="117" t="n">
        <f aca="false">COUNTIF(F23:F82,"&gt;0")</f>
        <v>16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1</v>
      </c>
      <c r="M14" s="108"/>
      <c r="N14" s="119" t="s">
        <v>44</v>
      </c>
      <c r="O14" s="120" t="n">
        <f aca="false">COUNTIF($J$23:$J$82,"&gt;-1")</f>
        <v>13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0.04</v>
      </c>
      <c r="C15" s="124" t="n">
        <v>0.1</v>
      </c>
      <c r="D15" s="87"/>
      <c r="E15" s="87"/>
      <c r="F15" s="104" t="n">
        <f aca="false">($B15*$B$7+$C15*$C$7)/100</f>
        <v>0.046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9</v>
      </c>
      <c r="M15" s="108"/>
      <c r="N15" s="116" t="s">
        <v>47</v>
      </c>
      <c r="O15" s="117" t="n">
        <f aca="false">COUNTIF(K23:K82,"=1")</f>
        <v>6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7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35.01</v>
      </c>
      <c r="C17" s="111" t="n">
        <v>10.07</v>
      </c>
      <c r="D17" s="87"/>
      <c r="E17" s="87"/>
      <c r="F17" s="129"/>
      <c r="G17" s="130" t="n">
        <f aca="false">($B17*$B$7+$C17*$C$7)/100</f>
        <v>32.516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0.8125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 t="n">
        <v>0.04</v>
      </c>
      <c r="C18" s="138" t="n">
        <v>0.1</v>
      </c>
      <c r="D18" s="87"/>
      <c r="E18" s="139" t="s">
        <v>54</v>
      </c>
      <c r="F18" s="129"/>
      <c r="G18" s="130" t="n">
        <f aca="false">($B18*$B$7+$C18*$C$7)/100</f>
        <v>0.046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32.562</v>
      </c>
      <c r="G19" s="150" t="n">
        <f aca="false">SUM(G16:G18)</f>
        <v>32.562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35.05</v>
      </c>
      <c r="C20" s="160" t="n">
        <f aca="false">SUM(C23:C62)</f>
        <v>10.17</v>
      </c>
      <c r="D20" s="161"/>
      <c r="E20" s="162" t="s">
        <v>54</v>
      </c>
      <c r="F20" s="163" t="n">
        <f aca="false">($B20*$B$7+$C20*$C$7)/100</f>
        <v>32.562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31.545</v>
      </c>
      <c r="C21" s="171" t="n">
        <f aca="false">C20*C7/100</f>
        <v>1.017</v>
      </c>
      <c r="D21" s="172" t="s">
        <v>57</v>
      </c>
      <c r="E21" s="173"/>
      <c r="F21" s="174" t="n">
        <f aca="false">B21+C21</f>
        <v>32.562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16</v>
      </c>
      <c r="B23" s="199" t="n">
        <v>34.125</v>
      </c>
      <c r="C23" s="200" t="n">
        <v>9.5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31.6625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31.6625</v>
      </c>
      <c r="S23" s="212" t="n">
        <f aca="false">IF(OR(ISTEXT(H23),R23=0),"",IF(R23&lt;0.1,1,IF(R23&lt;1,2,IF(R23&lt;10,3,IF(R23&lt;50,4,IF(R23&gt;=50,5,""))))))</f>
        <v>4</v>
      </c>
      <c r="T23" s="212" t="n">
        <f aca="false">IF(ISERROR(S23*J23),0,S23*J23)</f>
        <v>24</v>
      </c>
      <c r="U23" s="212" t="n">
        <f aca="false">IF(ISERROR(S23*J23*K23),0,S23*J23*K23)</f>
        <v>24</v>
      </c>
      <c r="V23" s="212" t="n">
        <f aca="false">IF(ISERROR(S23*K23),0,S23*K23)</f>
        <v>4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80</v>
      </c>
      <c r="B24" s="217" t="n">
        <v>0.875</v>
      </c>
      <c r="C24" s="218" t="n">
        <v>0.3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Diatoma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0.8175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12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Diatoma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6627</v>
      </c>
      <c r="R24" s="211" t="n">
        <f aca="false">IF(ISTEXT(H24),"",(B24*$B$7/100)+(C24*$C$7/100))</f>
        <v>0.8175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24</v>
      </c>
      <c r="U24" s="212" t="n">
        <f aca="false">IF(ISERROR(S24*J24*K24),0,S24*J24*K24)</f>
        <v>48</v>
      </c>
      <c r="V24" s="228" t="n">
        <f aca="false">IF(ISERROR(S24*K24),0,S24*K24)</f>
        <v>4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DIASPX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40</v>
      </c>
    </row>
    <row r="25" customFormat="false" ht="12.75" hidden="false" customHeight="false" outlineLevel="0" collapsed="false">
      <c r="A25" s="216" t="s">
        <v>81</v>
      </c>
      <c r="B25" s="217" t="n">
        <v>0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Microspora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12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Microspora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1132</v>
      </c>
      <c r="R25" s="211" t="n">
        <f aca="false">IF(ISTEXT(H25),"",(B25*$B$7/100)+(C25*$C$7/100))</f>
        <v>0.001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12</v>
      </c>
      <c r="U25" s="212" t="n">
        <f aca="false">IF(ISERROR(S25*J25*K25),0,S25*J25*K25)</f>
        <v>24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MICSPX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66</v>
      </c>
    </row>
    <row r="26" customFormat="false" ht="12.75" hidden="false" customHeight="false" outlineLevel="0" collapsed="false">
      <c r="A26" s="216" t="s">
        <v>82</v>
      </c>
      <c r="B26" s="217" t="n">
        <v>0.01</v>
      </c>
      <c r="C26" s="218" t="n">
        <v>0.2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Vaucheria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0.029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4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Vaucheria sp.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1169</v>
      </c>
      <c r="R26" s="211" t="n">
        <f aca="false">IF(ISTEXT(H26),"",(B26*$B$7/100)+(C26*$C$7/100))</f>
        <v>0.029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4</v>
      </c>
      <c r="U26" s="212" t="n">
        <f aca="false">IF(ISERROR(S26*J26*K26),0,S26*J26*K26)</f>
        <v>4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VAUSPX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118</v>
      </c>
    </row>
    <row r="27" customFormat="false" ht="12.75" hidden="false" customHeight="false" outlineLevel="0" collapsed="false">
      <c r="A27" s="216" t="s">
        <v>83</v>
      </c>
      <c r="B27" s="217" t="n">
        <v>0</v>
      </c>
      <c r="C27" s="218" t="n">
        <v>0.05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Fissidens crassipes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12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Fissidens crassipes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1294</v>
      </c>
      <c r="R27" s="211" t="n">
        <f aca="false">IF(ISTEXT(H27),"",(B27*$B$7/100)+(C27*$C$7/100))</f>
        <v>0.005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12</v>
      </c>
      <c r="U27" s="212" t="n">
        <f aca="false">IF(ISERROR(S27*J27*K27),0,S27*J27*K27)</f>
        <v>24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FISCRA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255</v>
      </c>
    </row>
    <row r="28" customFormat="false" ht="12.75" hidden="false" customHeight="false" outlineLevel="0" collapsed="false">
      <c r="A28" s="216" t="s">
        <v>84</v>
      </c>
      <c r="B28" s="217" t="n">
        <v>0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Hygroamblystegium tenax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15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Hygroamblystegium tenax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31552</v>
      </c>
      <c r="R28" s="211" t="n">
        <f aca="false">IF(ISTEXT(H28),"",(B28*$B$7/100)+(C28*$C$7/100))</f>
        <v>0.001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15</v>
      </c>
      <c r="U28" s="212" t="n">
        <f aca="false">IF(ISERROR(S28*J28*K28),0,S28*J28*K28)</f>
        <v>30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HYATEN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283</v>
      </c>
    </row>
    <row r="29" customFormat="false" ht="12.75" hidden="false" customHeight="false" outlineLevel="0" collapsed="false">
      <c r="A29" s="216" t="s">
        <v>85</v>
      </c>
      <c r="B29" s="217" t="n">
        <v>0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Equisetum pratense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0.001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PTE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6</v>
      </c>
      <c r="I29" s="8" t="n">
        <f aca="false">IF(A29="","",1)</f>
        <v>1</v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nc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nc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Equisetum pratense</v>
      </c>
      <c r="M29" s="225"/>
      <c r="N29" s="225"/>
      <c r="O29" s="225"/>
      <c r="P29" s="226" t="s">
        <v>79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19645</v>
      </c>
      <c r="R29" s="211" t="n">
        <f aca="false">IF(ISTEXT(H29),"",(B29*$B$7/100)+(C29*$C$7/100))</f>
        <v>0.001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EQUPRA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389</v>
      </c>
    </row>
    <row r="30" customFormat="false" ht="12.75" hidden="false" customHeight="false" outlineLevel="0" collapsed="false">
      <c r="A30" s="216" t="s">
        <v>86</v>
      </c>
      <c r="B30" s="217" t="n">
        <v>0.02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Glyceria fluitans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0.019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PHe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8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14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Glyceria fluitans</v>
      </c>
      <c r="M30" s="225"/>
      <c r="N30" s="225"/>
      <c r="O30" s="225"/>
      <c r="P30" s="226" t="s">
        <v>79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1564</v>
      </c>
      <c r="R30" s="211" t="n">
        <f aca="false">IF(ISTEXT(H30),"",(B30*$B$7/100)+(C30*$C$7/100))</f>
        <v>0.019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14</v>
      </c>
      <c r="U30" s="212" t="n">
        <f aca="false">IF(ISERROR(S30*J30*K30),0,S30*J30*K30)</f>
        <v>28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GLYFLU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676</v>
      </c>
    </row>
    <row r="31" customFormat="false" ht="12.75" hidden="false" customHeight="false" outlineLevel="0" collapsed="false">
      <c r="A31" s="216" t="s">
        <v>87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Lycopus europaeus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0.001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PHe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8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11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1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Lycopus europaeus</v>
      </c>
      <c r="M31" s="225"/>
      <c r="N31" s="225"/>
      <c r="O31" s="225"/>
      <c r="P31" s="226" t="s">
        <v>79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1789</v>
      </c>
      <c r="R31" s="211" t="n">
        <f aca="false">IF(ISTEXT(H31),"",(B31*$B$7/100)+(C31*$C$7/100))</f>
        <v>0.001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11</v>
      </c>
      <c r="U31" s="212" t="n">
        <f aca="false">IF(ISERROR(S31*J31*K31),0,S31*J31*K31)</f>
        <v>11</v>
      </c>
      <c r="V31" s="228" t="n">
        <f aca="false">IF(ISERROR(S31*K31),0,S31*K31)</f>
        <v>1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LYCEUR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692</v>
      </c>
    </row>
    <row r="32" customFormat="false" ht="12.75" hidden="false" customHeight="false" outlineLevel="0" collapsed="false">
      <c r="A32" s="216" t="s">
        <v>88</v>
      </c>
      <c r="B32" s="217" t="n">
        <v>0.01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Mentha aquatica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PHe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8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12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1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Mentha aquatica</v>
      </c>
      <c r="M32" s="225"/>
      <c r="N32" s="225"/>
      <c r="O32" s="225"/>
      <c r="P32" s="226" t="s">
        <v>79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1791</v>
      </c>
      <c r="R32" s="211" t="n">
        <f aca="false">IF(ISTEXT(H32),"",(B32*$B$7/100)+(C32*$C$7/100))</f>
        <v>0.01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12</v>
      </c>
      <c r="U32" s="212" t="n">
        <f aca="false">IF(ISERROR(S32*J32*K32),0,S32*J32*K32)</f>
        <v>12</v>
      </c>
      <c r="V32" s="228" t="n">
        <f aca="false">IF(ISERROR(S32*K32),0,S32*K32)</f>
        <v>1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MENAQU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694</v>
      </c>
    </row>
    <row r="33" customFormat="false" ht="12.75" hidden="false" customHeight="false" outlineLevel="0" collapsed="false">
      <c r="A33" s="216" t="s">
        <v>89</v>
      </c>
      <c r="B33" s="217" t="n">
        <v>0</v>
      </c>
      <c r="C33" s="218" t="n">
        <v>0.01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Mentha longifolia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0.001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PHe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8</v>
      </c>
      <c r="I33" s="8" t="n">
        <f aca="false">IF(A33="","",1)</f>
        <v>1</v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nc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nc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Mentha longifolia</v>
      </c>
      <c r="M33" s="225"/>
      <c r="N33" s="225"/>
      <c r="O33" s="225"/>
      <c r="P33" s="226" t="s">
        <v>79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19856</v>
      </c>
      <c r="R33" s="211" t="n">
        <f aca="false">IF(ISTEXT(H33),"",(B33*$B$7/100)+(C33*$C$7/100))</f>
        <v>0.001</v>
      </c>
      <c r="S33" s="212" t="n">
        <f aca="false">IF(OR(ISTEXT(H33),R33=0),"",IF(R33&lt;0.1,1,IF(R33&lt;1,2,IF(R33&lt;10,3,IF(R33&lt;50,4,IF(R33&gt;=50,5,""))))))</f>
        <v>1</v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MENLON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695</v>
      </c>
    </row>
    <row r="34" customFormat="false" ht="12.75" hidden="false" customHeight="false" outlineLevel="0" collapsed="false">
      <c r="A34" s="216" t="s">
        <v>90</v>
      </c>
      <c r="B34" s="217" t="n">
        <v>0</v>
      </c>
      <c r="C34" s="218" t="n">
        <v>0.01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Phalaris arundinacea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0.001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PHe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8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10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1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Phalaris arundinacea</v>
      </c>
      <c r="M34" s="225"/>
      <c r="N34" s="225"/>
      <c r="O34" s="225"/>
      <c r="P34" s="226" t="s">
        <v>79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1577</v>
      </c>
      <c r="R34" s="211" t="n">
        <f aca="false">IF(ISTEXT(H34),"",(B34*$B$7/100)+(C34*$C$7/100))</f>
        <v>0.001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10</v>
      </c>
      <c r="U34" s="212" t="n">
        <f aca="false">IF(ISERROR(S34*J34*K34),0,S34*J34*K34)</f>
        <v>10</v>
      </c>
      <c r="V34" s="228" t="n">
        <f aca="false">IF(ISERROR(S34*K34),0,S34*K34)</f>
        <v>1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PHAARU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707</v>
      </c>
    </row>
    <row r="35" customFormat="false" ht="12.75" hidden="false" customHeight="false" outlineLevel="0" collapsed="false">
      <c r="A35" s="216" t="s">
        <v>91</v>
      </c>
      <c r="B35" s="217" t="n">
        <v>0</v>
      </c>
      <c r="C35" s="218" t="n">
        <v>0.01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Phragmites australis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0.001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PHe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8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9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2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Phragmites australis</v>
      </c>
      <c r="M35" s="225"/>
      <c r="N35" s="225"/>
      <c r="O35" s="225"/>
      <c r="P35" s="226" t="s">
        <v>79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1579</v>
      </c>
      <c r="R35" s="211" t="n">
        <f aca="false">IF(ISTEXT(H35),"",(B35*$B$7/100)+(C35*$C$7/100))</f>
        <v>0.001</v>
      </c>
      <c r="S35" s="212" t="n">
        <f aca="false">IF(OR(ISTEXT(H35),R35=0),"",IF(R35&lt;0.1,1,IF(R35&lt;1,2,IF(R35&lt;10,3,IF(R35&lt;50,4,IF(R35&gt;=50,5,""))))))</f>
        <v>1</v>
      </c>
      <c r="T35" s="212" t="n">
        <f aca="false">IF(ISERROR(S35*J35),0,S35*J35)</f>
        <v>9</v>
      </c>
      <c r="U35" s="212" t="n">
        <f aca="false">IF(ISERROR(S35*J35*K35),0,S35*J35*K35)</f>
        <v>18</v>
      </c>
      <c r="V35" s="228" t="n">
        <f aca="false">IF(ISERROR(S35*K35),0,S35*K35)</f>
        <v>2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PHRAUS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709</v>
      </c>
    </row>
    <row r="36" customFormat="false" ht="12.75" hidden="false" customHeight="false" outlineLevel="0" collapsed="false">
      <c r="A36" s="216" t="s">
        <v>92</v>
      </c>
      <c r="B36" s="217" t="n">
        <v>0.01</v>
      </c>
      <c r="C36" s="218" t="n">
        <v>0.01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Veronica anagallis-aquatica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0.01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PHe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8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11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2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Veronica anagallis-aquatica</v>
      </c>
      <c r="M36" s="225"/>
      <c r="N36" s="225"/>
      <c r="O36" s="225"/>
      <c r="P36" s="226" t="s">
        <v>79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1955</v>
      </c>
      <c r="R36" s="211" t="n">
        <f aca="false">IF(ISTEXT(H36),"",(B36*$B$7/100)+(C36*$C$7/100))</f>
        <v>0.01</v>
      </c>
      <c r="S36" s="212" t="n">
        <f aca="false">IF(OR(ISTEXT(H36),R36=0),"",IF(R36&lt;0.1,1,IF(R36&lt;1,2,IF(R36&lt;10,3,IF(R36&lt;50,4,IF(R36&gt;=50,5,""))))))</f>
        <v>1</v>
      </c>
      <c r="T36" s="212" t="n">
        <f aca="false">IF(ISERROR(S36*J36),0,S36*J36)</f>
        <v>11</v>
      </c>
      <c r="U36" s="212" t="n">
        <f aca="false">IF(ISERROR(S36*J36*K36),0,S36*J36*K36)</f>
        <v>22</v>
      </c>
      <c r="V36" s="228" t="n">
        <f aca="false">IF(ISERROR(S36*K36),0,S36*K36)</f>
        <v>2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VERANA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740</v>
      </c>
    </row>
    <row r="37" customFormat="false" ht="12.75" hidden="false" customHeight="false" outlineLevel="0" collapsed="false">
      <c r="A37" s="216" t="s">
        <v>93</v>
      </c>
      <c r="B37" s="217" t="n">
        <v>0</v>
      </c>
      <c r="C37" s="218" t="n">
        <v>0.01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Veronica beccabunga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0.001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PHe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8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10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1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Veronica beccabunga</v>
      </c>
      <c r="M37" s="225"/>
      <c r="N37" s="225"/>
      <c r="O37" s="225"/>
      <c r="P37" s="226" t="s">
        <v>79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1957</v>
      </c>
      <c r="R37" s="211" t="n">
        <f aca="false">IF(ISTEXT(H37),"",(B37*$B$7/100)+(C37*$C$7/100))</f>
        <v>0.001</v>
      </c>
      <c r="S37" s="212" t="n">
        <f aca="false">IF(OR(ISTEXT(H37),R37=0),"",IF(R37&lt;0.1,1,IF(R37&lt;1,2,IF(R37&lt;10,3,IF(R37&lt;50,4,IF(R37&gt;=50,5,""))))))</f>
        <v>1</v>
      </c>
      <c r="T37" s="212" t="n">
        <f aca="false">IF(ISERROR(S37*J37),0,S37*J37)</f>
        <v>10</v>
      </c>
      <c r="U37" s="212" t="n">
        <f aca="false">IF(ISERROR(S37*J37*K37),0,S37*J37*K37)</f>
        <v>10</v>
      </c>
      <c r="V37" s="228" t="n">
        <f aca="false">IF(ISERROR(S37*K37),0,S37*K37)</f>
        <v>1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VERBEC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741</v>
      </c>
    </row>
    <row r="38" customFormat="false" ht="12.75" hidden="false" customHeight="false" outlineLevel="0" collapsed="false">
      <c r="A38" s="216" t="s">
        <v>94</v>
      </c>
      <c r="B38" s="217" t="n">
        <v>0</v>
      </c>
      <c r="C38" s="218" t="n">
        <v>0.01</v>
      </c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>Lythrum salicaria</v>
      </c>
      <c r="E38" s="220" t="e">
        <f aca="false">IF(D38="",0,VLOOKUP(D38,D$22:D37,1,0))</f>
        <v>#N/A</v>
      </c>
      <c r="F38" s="221" t="n">
        <f aca="false">IF(AND(OR(A38="",A38="!!!!!!"),B38="",C38=""),"",IF(OR(AND(B38="",C38=""),ISERROR(C38+B38)),"!!!",($B38*$B$7+$C38*$C$7)/100))</f>
        <v>0.001</v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>PHg</v>
      </c>
      <c r="H38" s="223" t="n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9</v>
      </c>
      <c r="I38" s="8" t="n">
        <f aca="false">IF(A38="","",1)</f>
        <v>1</v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nc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nc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>Lythrum salicaria</v>
      </c>
      <c r="M38" s="225"/>
      <c r="N38" s="225"/>
      <c r="O38" s="225"/>
      <c r="P38" s="226" t="s">
        <v>79</v>
      </c>
      <c r="Q38" s="227" t="n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>1823</v>
      </c>
      <c r="R38" s="211" t="n">
        <f aca="false">IF(ISTEXT(H38),"",(B38*$B$7/100)+(C38*$C$7/100))</f>
        <v>0.001</v>
      </c>
      <c r="S38" s="212" t="n">
        <f aca="false">IF(OR(ISTEXT(H38),R38=0),"",IF(R38&lt;0.1,1,IF(R38&lt;1,2,IF(R38&lt;10,3,IF(R38&lt;50,4,IF(R38&gt;=50,5,""))))))</f>
        <v>1</v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>LYTSAL</v>
      </c>
      <c r="Z38" s="197" t="n">
        <f aca="false">IF(ISERROR(MATCH(A38,'[1]liste reference'!$A$6:$A$1174,0)),IF(ISERROR(MATCH(A38,'[1]liste reference'!$B$6:$B$1174,0)),"",(MATCH(A38,'[1]liste reference'!$B$6:$B$1174,0))),(MATCH(A38,'[1]liste reference'!$A$6:$A$1174,0)))</f>
        <v>902</v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32.562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25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JABRON</v>
      </c>
      <c r="B84" s="180" t="str">
        <f aca="false">C3</f>
        <v>JABRON A MONTELIMAR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10.6</v>
      </c>
      <c r="E84" s="254" t="n">
        <f aca="false">O13</f>
        <v>16</v>
      </c>
      <c r="F84" s="180" t="n">
        <f aca="false">O14</f>
        <v>13</v>
      </c>
      <c r="G84" s="180" t="n">
        <f aca="false">O15</f>
        <v>6</v>
      </c>
      <c r="H84" s="180" t="n">
        <f aca="false">O16</f>
        <v>7</v>
      </c>
      <c r="I84" s="180" t="n">
        <f aca="false">O17</f>
        <v>0</v>
      </c>
      <c r="J84" s="255" t="n">
        <f aca="false">O8</f>
        <v>10.6153846153846</v>
      </c>
      <c r="K84" s="256" t="n">
        <f aca="false">O9</f>
        <v>2.86996278556579</v>
      </c>
      <c r="L84" s="257" t="n">
        <f aca="false">O10</f>
        <v>4</v>
      </c>
      <c r="M84" s="257" t="n">
        <f aca="false">O11</f>
        <v>15</v>
      </c>
      <c r="N84" s="256" t="n">
        <f aca="false">P8</f>
        <v>1.53846153846154</v>
      </c>
      <c r="O84" s="256" t="n">
        <f aca="false">P9</f>
        <v>0.498518515262143</v>
      </c>
      <c r="P84" s="257" t="n">
        <f aca="false">P10</f>
        <v>1</v>
      </c>
      <c r="Q84" s="257" t="n">
        <f aca="false">P11</f>
        <v>2</v>
      </c>
      <c r="R84" s="257" t="n">
        <f aca="false">F21</f>
        <v>32.562</v>
      </c>
      <c r="S84" s="257" t="n">
        <f aca="false">L11</f>
        <v>0</v>
      </c>
      <c r="T84" s="257" t="n">
        <f aca="false">L12</f>
        <v>4</v>
      </c>
      <c r="U84" s="257" t="n">
        <f aca="false">L13</f>
        <v>2</v>
      </c>
      <c r="V84" s="258" t="n">
        <f aca="false">L15</f>
        <v>9</v>
      </c>
      <c r="W84" s="259" t="n">
        <f aca="false">L15</f>
        <v>9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95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96</v>
      </c>
      <c r="S87" s="8"/>
      <c r="T87" s="263" t="n">
        <f aca="false">VLOOKUP($T$91,($A$23:$U$82),20,FALSE())</f>
        <v>24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97</v>
      </c>
      <c r="S88" s="8"/>
      <c r="T88" s="263" t="n">
        <f aca="false">VLOOKUP($T$91,($A$23:$U$82),21,FALSE())</f>
        <v>24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98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99</v>
      </c>
      <c r="S90" s="8" t="s">
        <v>10</v>
      </c>
      <c r="T90" s="264" t="n">
        <f aca="false">IF(OR(ISERROR(SUM($U$23:$U$82)/SUM($V$23:$V$82)),F7&lt;&gt;100),-1,(SUM($U$23:$U$82)-T88)/(SUM($V$23:$V$82)-T89))</f>
        <v>11.4761904761905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100</v>
      </c>
      <c r="S91" s="212"/>
      <c r="T91" s="212" t="str">
        <f aca="false">INDEX('[1]liste reference'!$A$6:$A$1174,$U$91)</f>
        <v>CLASPX</v>
      </c>
      <c r="U91" s="8" t="n">
        <f aca="false">IF(ISERROR(MATCH($T$93,'[1]liste reference'!$A$6:$A$1174,0)),MATCH($T$93,'[1]liste reference'!$B$6:$B$1174,0),(MATCH($T$93,'[1]liste reference'!$A$6:$A$1174,0)))</f>
        <v>35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101</v>
      </c>
      <c r="S92" s="8"/>
      <c r="T92" s="8" t="n">
        <f aca="false">MATCH(T89,$V$23:$V$82,0)</f>
        <v>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102</v>
      </c>
      <c r="S93" s="8"/>
      <c r="T93" s="212" t="str">
        <f aca="false">INDEX($A$23:$A$82,$T$92)</f>
        <v>CLASPX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2015-12-28T16:18:36Z</dcterms:created>
  <dc:creator>Laboratoire hydrobiologie SAGE</dc:creator>
  <dc:description/>
  <dc:language>fr-FR</dc:language>
  <cp:lastModifiedBy>Laboratoire hydrobiologie SAGE</cp:lastModifiedBy>
  <dcterms:modified xsi:type="dcterms:W3CDTF">2015-12-28T16:18:39Z</dcterms:modified>
  <cp:revision>0</cp:revision>
  <dc:subject/>
  <dc:title/>
</cp:coreProperties>
</file>