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<sst xmlns="http://schemas.openxmlformats.org/spreadsheetml/2006/main" count="103" uniqueCount="98">
  <si>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</si>
  <si>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</si>
  <si>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</si>
  <si>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L.ISEBE S.RENAHY</t>
  </si>
  <si>
    <t xml:space="preserve">conforme AFNOR T90-395 oct. 2003</t>
  </si>
  <si>
    <t xml:space="preserve">Galaure</t>
  </si>
  <si>
    <t xml:space="preserve">GALAURE A ST BARTHELEMY DE VALS</t>
  </si>
  <si>
    <t xml:space="preserve">06580341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</si>
  <si>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</si>
  <si>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</si>
  <si>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</si>
  <si>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</si>
  <si>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</si>
  <si>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</si>
  <si>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</si>
  <si>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</si>
  <si>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CINRIP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</si>
  <si>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</si>
  <si>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</si>
  <si>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</si>
  <si>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</si>
  <si>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</si>
  <si>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</si>
  <si>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</si>
  <si>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</si>
  <si>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</si>
  <si>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</si>
  <si>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</si>
  <si>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</si>
  <si>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</si>
  <si>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</si>
  <si>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</si>
  <si>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</si>
  <si>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</si>
  <si>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</si>
  <si>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</si>
  <si>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</si>
  <si>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</si>
  <si>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</si>
  <si>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</si>
  <si>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</si>
  <si>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</si>
  <si>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</si>
  <si>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</si>
  <si>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</si>
  <si>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</si>
  <si>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</si>
  <si>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</si>
  <si>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</si>
  <si>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</si>
  <si>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</si>
  <si>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</si>
  <si>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</si>
  <si>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</si>
  <si>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</si>
  <si>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ATTENTION : le total par grp. floristiques doit être égal</t>
  </si>
  <si>
    <t xml:space="preserve">au total par grp. Fonctionnels !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</si>
  <si>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</si>
  <si>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</si>
  <si>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</si>
  <si>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</si>
  <si>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</si>
  <si>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</si>
  <si>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</si>
  <si>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</si>
  <si>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</si>
  <si>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</si>
  <si>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</si>
  <si>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</si>
  <si>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</si>
  <si>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</si>
  <si>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</si>
  <si>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</si>
  <si>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</si>
  <si>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</si>
  <si>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</si>
  <si>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</si>
  <si>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</si>
  <si>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</si>
  <si>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</si>
  <si>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</si>
  <si>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DIASPX</t>
  </si>
  <si>
    <t xml:space="preserve">OEDSPX</t>
  </si>
  <si>
    <t xml:space="preserve">PHOSPX</t>
  </si>
  <si>
    <t xml:space="preserve">VAUSPX</t>
  </si>
  <si>
    <t xml:space="preserve">RICCHA</t>
  </si>
  <si>
    <t xml:space="preserve">FISCRA</t>
  </si>
  <si>
    <t xml:space="preserve">GLYFLU</t>
  </si>
  <si>
    <t xml:space="preserve">REYJAP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</si>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</sst>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GALBA_19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41444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11.1724137931034</v>
      </c>
      <c r="M5" s="53"/>
      <c r="N5" s="54" t="s">
        <v>16</v>
      </c>
      <c r="O5" s="55" t="n">
        <v>10.4761904761905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95</v>
      </c>
      <c r="C7" s="67" t="n">
        <v>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10.5555555555556</v>
      </c>
      <c r="O8" s="84" t="n">
        <f aca="false">IF(ISERROR(AVERAGE(J23:J82)),"      -",AVERAGE(J23:J82))</f>
        <v>1.77777777777778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35</v>
      </c>
      <c r="C9" s="87" t="n">
        <v>10</v>
      </c>
      <c r="D9" s="88"/>
      <c r="E9" s="88"/>
      <c r="F9" s="89" t="n">
        <f aca="false">($B9*$B$7+$C9*$C$7)/100</f>
        <v>33.75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3.8329307357023</v>
      </c>
      <c r="O9" s="84" t="n">
        <f aca="false">IF(ISERROR(STDEVP(J23:J82)),"      -",STDEVP(J23:J82))</f>
        <v>0.415739709641549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20</v>
      </c>
      <c r="C12" s="119" t="n">
        <v>10</v>
      </c>
      <c r="D12" s="111"/>
      <c r="E12" s="111"/>
      <c r="F12" s="112" t="n">
        <f aca="false">($B12*$B$7+$C12*$C$7)/100</f>
        <v>19.5</v>
      </c>
      <c r="G12" s="120"/>
      <c r="H12" s="68"/>
      <c r="I12" s="121" t="s">
        <v>39</v>
      </c>
      <c r="J12" s="121"/>
      <c r="K12" s="115" t="n">
        <f aca="false">COUNTIF($G$23:$G$82,"=ALG")</f>
        <v>5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15</v>
      </c>
      <c r="C13" s="119" t="n">
        <v>0.01</v>
      </c>
      <c r="D13" s="111"/>
      <c r="E13" s="111"/>
      <c r="F13" s="112" t="n">
        <f aca="false">($B13*$B$7+$C13*$C$7)/100</f>
        <v>14.2505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3</v>
      </c>
      <c r="L13" s="116"/>
      <c r="M13" s="127" t="s">
        <v>42</v>
      </c>
      <c r="N13" s="128" t="n">
        <f aca="false">COUNTIF(F23:F82,"&gt;0")</f>
        <v>10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9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2</v>
      </c>
      <c r="L15" s="116"/>
      <c r="M15" s="137" t="s">
        <v>48</v>
      </c>
      <c r="N15" s="138" t="n">
        <f aca="false">COUNTIF(J23:J82,"=1")</f>
        <v>2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7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35</v>
      </c>
      <c r="C17" s="119" t="n">
        <v>10</v>
      </c>
      <c r="D17" s="111"/>
      <c r="E17" s="111"/>
      <c r="F17" s="143"/>
      <c r="G17" s="112" t="n">
        <f aca="false">($B17*$B$7+$C17*$C$7)/100</f>
        <v>33.75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 t="s">
        <v>55</v>
      </c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>ATTENTION : le total par grp. floristiques doit être égal</v>
      </c>
      <c r="E19" s="155" t="str">
        <f aca="false">IF(G19=F19,"","au total par grp. Fonctionnels !")</f>
        <v>au total par grp. Fonctionnels !</v>
      </c>
      <c r="F19" s="156" t="n">
        <f aca="false">SUM(F11:F15)</f>
        <v>33.7505</v>
      </c>
      <c r="G19" s="156" t="n">
        <f aca="false">SUM(G16:G18)</f>
        <v>33.75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 t="s">
        <v>56</v>
      </c>
    </row>
    <row r="20" customFormat="false" ht="12.75" hidden="false" customHeight="false" outlineLevel="0" collapsed="false">
      <c r="A20" s="164" t="s">
        <v>57</v>
      </c>
      <c r="B20" s="165" t="n">
        <f aca="false">SUM(B23:B82)</f>
        <v>35.13</v>
      </c>
      <c r="C20" s="166" t="n">
        <f aca="false">SUM(C23:C82)</f>
        <v>10.15</v>
      </c>
      <c r="D20" s="167"/>
      <c r="E20" s="168" t="s">
        <v>54</v>
      </c>
      <c r="F20" s="169" t="n">
        <f aca="false">($B20*$B$7+$C20*$C$7)/100</f>
        <v>33.881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58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59</v>
      </c>
      <c r="B21" s="179" t="n">
        <f aca="false">B20*B7/100</f>
        <v>33.3735</v>
      </c>
      <c r="C21" s="179" t="n">
        <f aca="false">C20*C7/100</f>
        <v>0.5075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33.881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60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61</v>
      </c>
      <c r="B22" s="190" t="s">
        <v>62</v>
      </c>
      <c r="C22" s="191" t="s">
        <v>62</v>
      </c>
      <c r="D22" s="140"/>
      <c r="E22" s="140"/>
      <c r="F22" s="192" t="s">
        <v>63</v>
      </c>
      <c r="G22" s="193" t="s">
        <v>64</v>
      </c>
      <c r="H22" s="140"/>
      <c r="I22" s="194" t="s">
        <v>65</v>
      </c>
      <c r="J22" s="194" t="s">
        <v>66</v>
      </c>
      <c r="K22" s="195" t="s">
        <v>67</v>
      </c>
      <c r="L22" s="195"/>
      <c r="M22" s="195"/>
      <c r="N22" s="195"/>
      <c r="O22" s="195"/>
      <c r="P22" s="196" t="s">
        <v>68</v>
      </c>
      <c r="Q22" s="197" t="s">
        <v>69</v>
      </c>
      <c r="R22" s="198" t="s">
        <v>70</v>
      </c>
      <c r="S22" s="199" t="s">
        <v>71</v>
      </c>
      <c r="T22" s="200" t="s">
        <v>72</v>
      </c>
      <c r="U22" s="201" t="s">
        <v>73</v>
      </c>
      <c r="V22" s="199" t="s">
        <v>74</v>
      </c>
      <c r="Y22" s="10" t="s">
        <v>75</v>
      </c>
      <c r="Z22" s="10" t="s">
        <v>76</v>
      </c>
      <c r="AA22" s="202" t="s">
        <v>77</v>
      </c>
      <c r="AB22" s="202" t="s">
        <v>78</v>
      </c>
      <c r="AC22" s="202" t="s">
        <v>79</v>
      </c>
    </row>
    <row r="23" customFormat="false" ht="12.75" hidden="false" customHeight="false" outlineLevel="0" collapsed="false">
      <c r="A23" s="203" t="s">
        <v>80</v>
      </c>
      <c r="B23" s="204" t="n">
        <v>14</v>
      </c>
      <c r="C23" s="205" t="n">
        <v>7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13.65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5" t="n">
        <f aca="false">IF(ISTEXT(H23),"",(B23*$B$7/100)+(C23*$C$7/100))</f>
        <v>13.65</v>
      </c>
      <c r="R23" s="216" t="n">
        <f aca="false">IF(OR(ISTEXT(H23),Q23=0),"",IF(Q23&lt;0.1,1,IF(Q23&lt;1,2,IF(Q23&lt;10,3,IF(Q23&lt;50,4,IF(Q23&gt;=50,5,""))))))</f>
        <v>4</v>
      </c>
      <c r="S23" s="216" t="n">
        <f aca="false">IF(ISERROR(R23*I23),0,R23*I23)</f>
        <v>24</v>
      </c>
      <c r="T23" s="216" t="n">
        <f aca="false">IF(ISERROR(R23*I23*J23),0,R23*I23*J23)</f>
        <v>24</v>
      </c>
      <c r="U23" s="216" t="n">
        <f aca="false">IF(ISERROR(R23*J23),0,R23*J23)</f>
        <v>4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81</v>
      </c>
      <c r="B24" s="223" t="n">
        <v>6.005</v>
      </c>
      <c r="C24" s="224" t="n">
        <v>3.005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Diatoma sp.</v>
      </c>
      <c r="E24" s="225" t="e">
        <f aca="false">IF(D24="",0,VLOOKUP(D24,D$22:D23,1,0))</f>
        <v>#N/A</v>
      </c>
      <c r="F24" s="226" t="n">
        <f aca="false">($B24*$B$7+$C24*$C$7)/100</f>
        <v>5.855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12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Diatoma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6627</v>
      </c>
      <c r="Q24" s="215" t="n">
        <f aca="false">IF(ISTEXT(H24),"",(B24*$B$7/100)+(C24*$C$7/100))</f>
        <v>5.855</v>
      </c>
      <c r="R24" s="216" t="n">
        <f aca="false">IF(OR(ISTEXT(H24),Q24=0),"",IF(Q24&lt;0.1,1,IF(Q24&lt;1,2,IF(Q24&lt;10,3,IF(Q24&lt;50,4,IF(Q24&gt;=50,5,""))))))</f>
        <v>3</v>
      </c>
      <c r="S24" s="216" t="n">
        <f aca="false">IF(ISERROR(R24*I24),0,R24*I24)</f>
        <v>36</v>
      </c>
      <c r="T24" s="216" t="n">
        <f aca="false">IF(ISERROR(R24*I24*J24),0,R24*I24*J24)</f>
        <v>72</v>
      </c>
      <c r="U24" s="228" t="n">
        <f aca="false">IF(ISERROR(R24*J24),0,R24*J24)</f>
        <v>6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DIASPX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26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82</v>
      </c>
      <c r="B25" s="223" t="n">
        <v>0</v>
      </c>
      <c r="C25" s="224" t="n">
        <v>0.01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Oedogonium sp.</v>
      </c>
      <c r="E25" s="225" t="e">
        <f aca="false">IF(D25="",0,VLOOKUP(D25,D$22:D24,1,0))</f>
        <v>#N/A</v>
      </c>
      <c r="F25" s="226" t="n">
        <f aca="false">($B25*$B$7+$C25*$C$7)/100</f>
        <v>0.0005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6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Oedogonium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1134</v>
      </c>
      <c r="Q25" s="215" t="n">
        <f aca="false">IF(ISTEXT(H25),"",(B25*$B$7/100)+(C25*$C$7/100))</f>
        <v>0.0005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6</v>
      </c>
      <c r="T25" s="216" t="n">
        <f aca="false">IF(ISERROR(R25*I25*J25),0,R25*I25*J25)</f>
        <v>12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OEDSPX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55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83</v>
      </c>
      <c r="B26" s="223" t="n">
        <v>0.01</v>
      </c>
      <c r="C26" s="224" t="n">
        <v>0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Phormidium sp.</v>
      </c>
      <c r="E26" s="225" t="e">
        <f aca="false">IF(D26="",0,VLOOKUP(D26,D$22:D25,1,0))</f>
        <v>#N/A</v>
      </c>
      <c r="F26" s="226" t="n">
        <f aca="false">($B26*$B$7+$C26*$C$7)/100</f>
        <v>0.0095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13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Phormidium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6414</v>
      </c>
      <c r="Q26" s="215" t="n">
        <f aca="false">IF(ISTEXT(H26),"",(B26*$B$7/100)+(C26*$C$7/100))</f>
        <v>0.0095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13</v>
      </c>
      <c r="T26" s="216" t="n">
        <f aca="false">IF(ISERROR(R26*I26*J26),0,R26*I26*J26)</f>
        <v>26</v>
      </c>
      <c r="U26" s="228" t="n">
        <f aca="false">IF(ISERROR(R26*J26),0,R26*J26)</f>
        <v>2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PHOSPX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57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84</v>
      </c>
      <c r="B27" s="223" t="n">
        <v>0.095</v>
      </c>
      <c r="C27" s="224" t="n">
        <v>0.095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Vaucheria sp.</v>
      </c>
      <c r="E27" s="225" t="e">
        <f aca="false">IF(D27="",0,VLOOKUP(D27,D$22:D26,1,0))</f>
        <v>#N/A</v>
      </c>
      <c r="F27" s="226" t="n">
        <f aca="false">($B27*$B$7+$C27*$C$7)/100</f>
        <v>0.095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4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Vaucheria sp.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6193</v>
      </c>
      <c r="Q27" s="215" t="n">
        <f aca="false">IF(ISTEXT(H27),"",(B27*$B$7/100)+(C27*$C$7/100))</f>
        <v>0.095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4</v>
      </c>
      <c r="T27" s="216" t="n">
        <f aca="false">IF(ISERROR(R27*I27*J27),0,R27*I27*J27)</f>
        <v>4</v>
      </c>
      <c r="U27" s="228" t="n">
        <f aca="false">IF(ISERROR(R27*J27),0,R27*J27)</f>
        <v>1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IF(A27="new.cod","NEWCOD",IF(AND((Z27=""),ISTEXT(A27)),A27,IF(Z27="","",INDEX('[1]liste reference'!$A$8:$A$904,Z27))))</f>
        <v>VAUSPX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82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85</v>
      </c>
      <c r="B28" s="223" t="n">
        <v>0.01</v>
      </c>
      <c r="C28" s="224" t="n">
        <v>0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Riccardia chamedryfolia</v>
      </c>
      <c r="E28" s="225" t="e">
        <f aca="false">IF(D28="",0,VLOOKUP(D28,D$22:D27,1,0))</f>
        <v>#N/A</v>
      </c>
      <c r="F28" s="226" t="n">
        <f aca="false">($B28*$B$7+$C28*$C$7)/100</f>
        <v>0.0095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BRh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4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15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2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Riccardia chamedryfolia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1173</v>
      </c>
      <c r="Q28" s="215" t="n">
        <f aca="false">IF(ISTEXT(H28),"",(B28*$B$7/100)+(C28*$C$7/100))</f>
        <v>0.0095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15</v>
      </c>
      <c r="T28" s="216" t="n">
        <f aca="false">IF(ISERROR(R28*I28*J28),0,R28*I28*J28)</f>
        <v>30</v>
      </c>
      <c r="U28" s="228" t="n">
        <f aca="false">IF(ISERROR(R28*J28),0,R28*J28)</f>
        <v>2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RICCHA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130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16</v>
      </c>
      <c r="B29" s="223" t="n">
        <v>15</v>
      </c>
      <c r="C29" s="224" t="n">
        <v>0.01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Cinclidotus riparius</v>
      </c>
      <c r="E29" s="225" t="e">
        <f aca="false">IF(D29="",0,VLOOKUP(D29,D$22:D28,1,0))</f>
        <v>#N/A</v>
      </c>
      <c r="F29" s="226" t="n">
        <f aca="false">($B29*$B$7+$C29*$C$7)/100</f>
        <v>14.2505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13</v>
      </c>
      <c r="J29" s="210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2</v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Cinclidotus riparius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1321</v>
      </c>
      <c r="Q29" s="215" t="n">
        <f aca="false">IF(ISTEXT(H29),"",(B29*$B$7/100)+(C29*$C$7/100))</f>
        <v>14.2505</v>
      </c>
      <c r="R29" s="216" t="n">
        <f aca="false">IF(OR(ISTEXT(H29),Q29=0),"",IF(Q29&lt;0.1,1,IF(Q29&lt;1,2,IF(Q29&lt;10,3,IF(Q29&lt;50,4,IF(Q29&gt;=50,5,""))))))</f>
        <v>4</v>
      </c>
      <c r="S29" s="216" t="n">
        <f aca="false">IF(ISERROR(R29*I29),0,R29*I29)</f>
        <v>52</v>
      </c>
      <c r="T29" s="216" t="n">
        <f aca="false">IF(ISERROR(R29*I29*J29),0,R29*I29*J29)</f>
        <v>104</v>
      </c>
      <c r="U29" s="228" t="n">
        <f aca="false">IF(ISERROR(R29*J29),0,R29*J29)</f>
        <v>8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CINRIP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174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86</v>
      </c>
      <c r="B30" s="223" t="n">
        <v>0.01</v>
      </c>
      <c r="C30" s="224" t="n">
        <v>0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Fissidens crassipes</v>
      </c>
      <c r="E30" s="225" t="e">
        <f aca="false">IF(D30="",0,VLOOKUP(D30,D$22:D29,1,0))</f>
        <v>#N/A</v>
      </c>
      <c r="F30" s="226" t="n">
        <f aca="false">($B30*$B$7+$C30*$C$7)/100</f>
        <v>0.0095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BRm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5</v>
      </c>
      <c r="I30" s="210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12</v>
      </c>
      <c r="J30" s="210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2</v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Fissidens crassipes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1294</v>
      </c>
      <c r="Q30" s="215" t="n">
        <f aca="false">IF(ISTEXT(H30),"",(B30*$B$7/100)+(C30*$C$7/100))</f>
        <v>0.0095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12</v>
      </c>
      <c r="T30" s="216" t="n">
        <f aca="false">IF(ISERROR(R30*I30*J30),0,R30*I30*J30)</f>
        <v>24</v>
      </c>
      <c r="U30" s="228" t="n">
        <f aca="false">IF(ISERROR(R30*J30),0,R30*J30)</f>
        <v>2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>FISCRA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197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87</v>
      </c>
      <c r="B31" s="223" t="n">
        <v>0</v>
      </c>
      <c r="C31" s="224" t="n">
        <v>0.01</v>
      </c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Glyceria fluitans</v>
      </c>
      <c r="E31" s="225" t="e">
        <f aca="false">IF(D31="",0,VLOOKUP(D31,D$22:D30,1,0))</f>
        <v>#N/A</v>
      </c>
      <c r="F31" s="226" t="n">
        <f aca="false">($B31*$B$7+$C31*$C$7)/100</f>
        <v>0.0005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PHe</v>
      </c>
      <c r="H31" s="209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8</v>
      </c>
      <c r="I31" s="210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14</v>
      </c>
      <c r="J31" s="210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Glyceria fluitans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1564</v>
      </c>
      <c r="Q31" s="215" t="n">
        <f aca="false">IF(ISTEXT(H31),"",(B31*$B$7/100)+(C31*$C$7/100))</f>
        <v>0.0005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14</v>
      </c>
      <c r="T31" s="216" t="n">
        <f aca="false">IF(ISERROR(R31*I31*J31),0,R31*I31*J31)</f>
        <v>28</v>
      </c>
      <c r="U31" s="228" t="n">
        <f aca="false">IF(ISERROR(R31*J31),0,R31*J31)</f>
        <v>2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>GLYFLU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575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88</v>
      </c>
      <c r="B32" s="223" t="n">
        <v>0</v>
      </c>
      <c r="C32" s="224" t="n">
        <v>0.02</v>
      </c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Reynoutria japonica</v>
      </c>
      <c r="E32" s="225" t="e">
        <f aca="false">IF(D32="",0,VLOOKUP(D32,D$22:D31,1,0))</f>
        <v>#N/A</v>
      </c>
      <c r="F32" s="226" t="n">
        <f aca="false">($B32*$B$7+$C32*$C$7)/100</f>
        <v>0.001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PHe</v>
      </c>
      <c r="H32" s="209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8</v>
      </c>
      <c r="I32" s="210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0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Reynoutria japonica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19988</v>
      </c>
      <c r="Q32" s="215" t="n">
        <f aca="false">IF(ISTEXT(H32),"",(B32*$B$7/100)+(C32*$C$7/100))</f>
        <v>0.001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>REYJAP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644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09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0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0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09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0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0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09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0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89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Galaure</v>
      </c>
      <c r="B84" s="258" t="str">
        <f aca="false">C3</f>
        <v>GALAURE A ST BARTHELEMY DE VALS</v>
      </c>
      <c r="C84" s="259" t="n">
        <f aca="false">A4</f>
        <v>41444</v>
      </c>
      <c r="D84" s="260" t="n">
        <f aca="false">IF(ISERROR(SUM($T$23:$T$82)/SUM($U$23:$U$82)),"",SUM($T$23:$T$82)/SUM($U$23:$U$82))</f>
        <v>11.1724137931034</v>
      </c>
      <c r="E84" s="261" t="n">
        <f aca="false">N13</f>
        <v>10</v>
      </c>
      <c r="F84" s="258" t="n">
        <f aca="false">N14</f>
        <v>9</v>
      </c>
      <c r="G84" s="258" t="n">
        <f aca="false">N15</f>
        <v>2</v>
      </c>
      <c r="H84" s="258" t="n">
        <f aca="false">N16</f>
        <v>7</v>
      </c>
      <c r="I84" s="258" t="n">
        <f aca="false">N17</f>
        <v>0</v>
      </c>
      <c r="J84" s="262" t="n">
        <f aca="false">N8</f>
        <v>10.5555555555556</v>
      </c>
      <c r="K84" s="260" t="n">
        <f aca="false">N9</f>
        <v>3.8329307357023</v>
      </c>
      <c r="L84" s="261" t="n">
        <f aca="false">N10</f>
        <v>4</v>
      </c>
      <c r="M84" s="261" t="n">
        <f aca="false">N11</f>
        <v>15</v>
      </c>
      <c r="N84" s="260" t="n">
        <f aca="false">O8</f>
        <v>1.77777777777778</v>
      </c>
      <c r="O84" s="260" t="n">
        <f aca="false">O9</f>
        <v>0.415739709641549</v>
      </c>
      <c r="P84" s="261" t="n">
        <f aca="false">O10</f>
        <v>1</v>
      </c>
      <c r="Q84" s="261" t="n">
        <f aca="false">O11</f>
        <v>2</v>
      </c>
      <c r="R84" s="261" t="n">
        <f aca="false">F21</f>
        <v>33.881</v>
      </c>
      <c r="S84" s="261" t="n">
        <f aca="false">K11</f>
        <v>0</v>
      </c>
      <c r="T84" s="261" t="n">
        <f aca="false">K12</f>
        <v>5</v>
      </c>
      <c r="U84" s="261" t="n">
        <f aca="false">K13</f>
        <v>3</v>
      </c>
      <c r="V84" s="263" t="n">
        <f aca="false">K14</f>
        <v>0</v>
      </c>
      <c r="W84" s="264" t="n">
        <f aca="false">K15</f>
        <v>2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90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91</v>
      </c>
      <c r="R87" s="10"/>
      <c r="S87" s="217" t="n">
        <f aca="false">VLOOKUP(MAX($S$23:$S$82),($S$23:$U$82),1,0)</f>
        <v>52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92</v>
      </c>
      <c r="R88" s="10"/>
      <c r="S88" s="217" t="n">
        <f aca="false">VLOOKUP((S87),($S$23:$U$82),2,0)</f>
        <v>104</v>
      </c>
      <c r="T88" s="10"/>
      <c r="U88" s="10"/>
      <c r="V88" s="10"/>
    </row>
    <row r="89" customFormat="false" ht="12.75" hidden="true" customHeight="false" outlineLevel="0" collapsed="false">
      <c r="Q89" s="10" t="s">
        <v>93</v>
      </c>
      <c r="R89" s="10"/>
      <c r="S89" s="217" t="n">
        <f aca="false">VLOOKUP((S87),($S$23:$U$82),3,0)</f>
        <v>8</v>
      </c>
      <c r="T89" s="10"/>
    </row>
    <row r="90" customFormat="false" ht="12.75" hidden="false" customHeight="false" outlineLevel="0" collapsed="false">
      <c r="Q90" s="10" t="s">
        <v>94</v>
      </c>
      <c r="R90" s="10"/>
      <c r="S90" s="267" t="n">
        <f aca="false">IF(ISERROR(SUM($T$23:$T$82)/SUM($U$23:$U$82)),"",(SUM($T$23:$T$82)-S88)/(SUM($U$23:$U$82)-S89))</f>
        <v>10.4761904761905</v>
      </c>
      <c r="T90" s="10"/>
    </row>
    <row r="91" customFormat="false" ht="12.75" hidden="false" customHeight="false" outlineLevel="0" collapsed="false">
      <c r="Q91" s="216" t="s">
        <v>95</v>
      </c>
      <c r="R91" s="216"/>
      <c r="S91" s="216" t="str">
        <f aca="false">INDEX('[1]liste reference'!$A$8:$A$904,$T$91)</f>
        <v>CINRIP</v>
      </c>
      <c r="T91" s="10" t="n">
        <f aca="false">IF(ISERROR(MATCH($S$93,'[1]liste reference'!$A$8:$A$904,0)),MATCH($S$93,'[1]liste reference'!$B$8:$B$904,0),(MATCH($S$93,'[1]liste reference'!$A$8:$A$904,0)))</f>
        <v>174</v>
      </c>
      <c r="U91" s="256"/>
    </row>
    <row r="92" customFormat="false" ht="12.75" hidden="false" customHeight="false" outlineLevel="0" collapsed="false">
      <c r="Q92" s="10" t="s">
        <v>96</v>
      </c>
      <c r="R92" s="10"/>
      <c r="S92" s="10" t="n">
        <f aca="false">MATCH(S87,$S$23:$S$82,0)</f>
        <v>7</v>
      </c>
      <c r="T92" s="10"/>
    </row>
    <row r="93" customFormat="false" ht="12.75" hidden="false" customHeight="false" outlineLevel="0" collapsed="false">
      <c r="Q93" s="216" t="s">
        <v>97</v>
      </c>
      <c r="R93" s="10"/>
      <c r="S93" s="216" t="str">
        <f aca="false">INDEX($A$23:$A$82,$S$92)</f>
        <v>CINRIP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2013-11-26T12:17:08Z</dcterms:created>
  <dc:creator>Laurent Bourgoin</dc:creator>
  <dc:description/>
  <dc:language>fr-FR</dc:language>
  <cp:lastModifiedBy>Laurent Bourgoin</cp:lastModifiedBy>
  <dcterms:modified xsi:type="dcterms:W3CDTF">2013-11-26T12:32:57Z</dcterms:modified>
  <cp:revision>0</cp:revision>
  <dc:subject/>
  <dc:title/>
</cp:coreProperties>
</file>