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<sst xmlns="http://schemas.openxmlformats.org/spreadsheetml/2006/main" count="165" uniqueCount="99">
  <si>
    <t xml:space="preserve">Relevés floristiques aquatiques - IBMR</t>
  </si>
  <si>
    <t xml:space="preserve">modèle Irstea-GIS</t>
  </si>
  <si>
    <t xml:space="preserve">SAGE ENVIRONNEMENT</t>
  </si>
  <si>
    <t xml:space="preserve">LBOURGOIN M SCHNEIDER</t>
  </si>
  <si>
    <t xml:space="preserve">DROME</t>
  </si>
  <si>
    <t xml:space="preserve">DROME A CHABRILLAN</t>
  </si>
  <si>
    <t xml:space="preserve">06580437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</si>
  <si>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</si>
  <si>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</si>
  <si>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</si>
  <si>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</si>
  <si>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</si>
  <si>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</si>
  <si>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</si>
  <si>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</si>
  <si>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</si>
  <si>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CINRIP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</si>
  <si>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</si>
  <si>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</si>
  <si>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</si>
  <si>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</si>
  <si>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</si>
  <si>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</si>
  <si>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</si>
  <si>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</si>
  <si>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</si>
  <si>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</si>
  <si>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</si>
  <si>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</si>
  <si>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</si>
  <si>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</si>
  <si>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</si>
  <si>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</si>
  <si>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</si>
  <si>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</si>
  <si>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</si>
  <si>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</si>
  <si>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</si>
  <si>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</si>
  <si>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</si>
  <si>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</si>
  <si>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</si>
  <si>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</si>
  <si>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</si>
  <si>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</si>
  <si>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</si>
  <si>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</si>
  <si>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</si>
  <si>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</si>
  <si>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</si>
  <si>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</si>
  <si>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</si>
  <si>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</si>
  <si>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</si>
  <si>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</si>
  <si>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</si>
  <si>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</si>
  <si>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</si>
  <si>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</si>
  <si>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</si>
  <si>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</si>
  <si>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</si>
  <si>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</si>
  <si>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</si>
  <si>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</si>
  <si>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</si>
  <si>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</si>
  <si>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</si>
  <si>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</si>
  <si>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</si>
  <si>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</si>
  <si>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</si>
  <si>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</si>
  <si>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</si>
  <si>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</si>
  <si>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</si>
  <si>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</si>
  <si>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</si>
  <si>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</si>
  <si>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</si>
  <si>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</si>
  <si>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SPISPX</t>
  </si>
  <si>
    <t xml:space="preserve">STISPX</t>
  </si>
  <si>
    <t xml:space="preserve">VAUSPX</t>
  </si>
  <si>
    <t xml:space="preserve">FISCRA</t>
  </si>
  <si>
    <t xml:space="preserve">FONANT</t>
  </si>
  <si>
    <t xml:space="preserve">LEORIP</t>
  </si>
  <si>
    <t xml:space="preserve">RHYRIP</t>
  </si>
  <si>
    <t xml:space="preserve">EQUSPX</t>
  </si>
  <si>
    <t xml:space="preserve">PHRAUS</t>
  </si>
  <si>
    <t xml:space="preserve">VERANA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</si>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</sst>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ROCHA_09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9.58333333333333</v>
      </c>
      <c r="N5" s="51"/>
      <c r="O5" s="52" t="s">
        <v>16</v>
      </c>
      <c r="P5" s="53" t="n">
        <v>8.9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97</v>
      </c>
      <c r="C7" s="69" t="n">
        <v>3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9.54545454545455</v>
      </c>
      <c r="P8" s="83" t="n">
        <f aca="false">IF(ISERROR(AVERAGE(K23:K82)),"  ",AVERAGE(K23:K82))</f>
        <v>1.54545454545455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5.56</v>
      </c>
      <c r="C9" s="86" t="n">
        <v>51.08</v>
      </c>
      <c r="D9" s="87"/>
      <c r="E9" s="87"/>
      <c r="F9" s="88" t="n">
        <f aca="false">($B9*$B$7+$C9*$C$7)/100</f>
        <v>6.9256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3.05595205708575</v>
      </c>
      <c r="P9" s="83" t="n">
        <f aca="false">IF(ISERROR(STDEVP(K23:K82)),"  ",STDEVP(K23:K82))</f>
        <v>0.497929597731969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5.02</v>
      </c>
      <c r="C12" s="111" t="n">
        <v>50</v>
      </c>
      <c r="D12" s="87"/>
      <c r="E12" s="87"/>
      <c r="F12" s="104" t="n">
        <f aca="false">($B12*$B$7+$C12*$C$7)/100</f>
        <v>6.3694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0.54</v>
      </c>
      <c r="C13" s="111" t="n">
        <v>1.05</v>
      </c>
      <c r="D13" s="87"/>
      <c r="E13" s="87"/>
      <c r="F13" s="104" t="n">
        <f aca="false">($B13*$B$7+$C13*$C$7)/100</f>
        <v>0.5553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5</v>
      </c>
      <c r="M13" s="108"/>
      <c r="N13" s="116" t="s">
        <v>41</v>
      </c>
      <c r="O13" s="117" t="n">
        <f aca="false">COUNTIF(F23:F82,"&gt;0")</f>
        <v>12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11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 t="n">
        <v>0.03</v>
      </c>
      <c r="D15" s="87"/>
      <c r="E15" s="87"/>
      <c r="F15" s="104" t="n">
        <f aca="false">($B15*$B$7+$C15*$C$7)/100</f>
        <v>0.0009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2</v>
      </c>
      <c r="M15" s="108"/>
      <c r="N15" s="116" t="s">
        <v>47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6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5.56</v>
      </c>
      <c r="C17" s="111" t="n">
        <v>51.05</v>
      </c>
      <c r="D17" s="87"/>
      <c r="E17" s="87"/>
      <c r="F17" s="129"/>
      <c r="G17" s="130" t="n">
        <f aca="false">($B17*$B$7+$C17*$C$7)/100</f>
        <v>6.9247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0.916666666666667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0.03</v>
      </c>
      <c r="D18" s="87"/>
      <c r="E18" s="139" t="s">
        <v>54</v>
      </c>
      <c r="F18" s="129"/>
      <c r="G18" s="130" t="n">
        <f aca="false">($B18*$B$7+$C18*$C$7)/100</f>
        <v>0.0009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6.9256</v>
      </c>
      <c r="G19" s="150" t="n">
        <f aca="false">SUM(G16:G18)</f>
        <v>6.9256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5.56</v>
      </c>
      <c r="C20" s="160" t="n">
        <f aca="false">SUM(C23:C62)</f>
        <v>51.08</v>
      </c>
      <c r="D20" s="161"/>
      <c r="E20" s="162" t="s">
        <v>54</v>
      </c>
      <c r="F20" s="163" t="n">
        <f aca="false">($B20*$B$7+$C20*$C$7)/100</f>
        <v>6.9256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5.3932</v>
      </c>
      <c r="C21" s="171" t="n">
        <f aca="false">C20*C7/100</f>
        <v>1.5324</v>
      </c>
      <c r="D21" s="172" t="s">
        <v>57</v>
      </c>
      <c r="E21" s="173"/>
      <c r="F21" s="174" t="n">
        <f aca="false">B21+C21</f>
        <v>6.9256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2.7</v>
      </c>
      <c r="C23" s="200" t="n">
        <v>40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3.819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3.819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18</v>
      </c>
      <c r="U23" s="212" t="n">
        <f aca="false">IF(ISERROR(S23*J23*K23),0,S23*J23*K23)</f>
        <v>18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2</v>
      </c>
      <c r="C24" s="218" t="n">
        <v>10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Spirogyra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2.24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Spirogyra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1147</v>
      </c>
      <c r="R24" s="211" t="n">
        <f aca="false">IF(ISTEXT(H24),"",(B24*$B$7/100)+(C24*$C$7/100))</f>
        <v>2.24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30</v>
      </c>
      <c r="U24" s="212" t="n">
        <f aca="false">IF(ISERROR(S24*J24*K24),0,S24*J24*K24)</f>
        <v>30</v>
      </c>
      <c r="V24" s="228" t="n">
        <f aca="false">IF(ISERROR(S24*K24),0,S24*K24)</f>
        <v>3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SPISPX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102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Stigeoclonium sp. (excep. S. tenue)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0.0097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Stigeoclonium sp. (excep. S. tenue)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1119</v>
      </c>
      <c r="R25" s="211" t="n">
        <f aca="false">IF(ISTEXT(H25),"",(B25*$B$7/100)+(C25*$C$7/100))</f>
        <v>0.0097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STISPX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104</v>
      </c>
    </row>
    <row r="26" customFormat="false" ht="12.75" hidden="false" customHeight="false" outlineLevel="0" collapsed="false">
      <c r="A26" s="216" t="s">
        <v>83</v>
      </c>
      <c r="B26" s="217" t="n">
        <v>0.31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0.3007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0.3007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8</v>
      </c>
      <c r="U26" s="212" t="n">
        <f aca="false">IF(ISERROR(S26*J26*K26),0,S26*J26*K26)</f>
        <v>8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16</v>
      </c>
      <c r="B27" s="217" t="n">
        <v>0.5</v>
      </c>
      <c r="C27" s="218" t="n">
        <v>0.95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Cinclidotus riparius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0.5135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Cinclidotus riparius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1321</v>
      </c>
      <c r="R27" s="211" t="n">
        <f aca="false">IF(ISTEXT(H27),"",(B27*$B$7/100)+(C27*$C$7/100))</f>
        <v>0.5135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26</v>
      </c>
      <c r="U27" s="212" t="n">
        <f aca="false">IF(ISERROR(S27*J27*K27),0,S27*J27*K27)</f>
        <v>52</v>
      </c>
      <c r="V27" s="228" t="n">
        <f aca="false">IF(ISERROR(S27*K27),0,S27*K27)</f>
        <v>4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CINRIP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224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Fissidens crassipes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Fissidens crassipes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1294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24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FISCRA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255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0.03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Fontinalis antipyretica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0.0106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Fontinalis antipyretica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1310</v>
      </c>
      <c r="R29" s="211" t="n">
        <f aca="false">IF(ISTEXT(H29),"",(B29*$B$7/100)+(C29*$C$7/100))</f>
        <v>0.0106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FONANT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273</v>
      </c>
    </row>
    <row r="30" customFormat="false" ht="12.75" hidden="false" customHeight="false" outlineLevel="0" collapsed="false">
      <c r="A30" s="216" t="s">
        <v>86</v>
      </c>
      <c r="B30" s="217" t="n">
        <v>0.01</v>
      </c>
      <c r="C30" s="218" t="n">
        <v>0.06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Leptodictyum riparium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0.0115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Leptodictyum riparium 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1244</v>
      </c>
      <c r="R30" s="211" t="n">
        <f aca="false">IF(ISTEXT(H30),"",(B30*$B$7/100)+(C30*$C$7/100))</f>
        <v>0.0115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5</v>
      </c>
      <c r="U30" s="212" t="n">
        <f aca="false">IF(ISERROR(S30*J30*K30),0,S30*J30*K30)</f>
        <v>10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LEORIP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298</v>
      </c>
    </row>
    <row r="31" customFormat="false" ht="12.75" hidden="false" customHeight="false" outlineLevel="0" collapsed="false">
      <c r="A31" s="216" t="s">
        <v>87</v>
      </c>
      <c r="B31" s="217" t="n">
        <v>0.01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Rhynchostegium riparioides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0.0097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12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Rhynchostegium riparioides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31691</v>
      </c>
      <c r="R31" s="211" t="n">
        <f aca="false">IF(ISTEXT(H31),"",(B31*$B$7/100)+(C31*$C$7/100))</f>
        <v>0.0097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12</v>
      </c>
      <c r="U31" s="212" t="n">
        <f aca="false">IF(ISERROR(S31*J31*K31),0,S31*J31*K31)</f>
        <v>12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RHYRIP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345</v>
      </c>
    </row>
    <row r="32" customFormat="false" ht="12.75" hidden="false" customHeight="false" outlineLevel="0" collapsed="false">
      <c r="A32" s="216" t="s">
        <v>88</v>
      </c>
      <c r="B32" s="217" t="n">
        <v>0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Equisetum sp.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0.0003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PTE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6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Equisetum sp.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1383</v>
      </c>
      <c r="R32" s="211" t="n">
        <f aca="false">IF(ISTEXT(H32),"",(B32*$B$7/100)+(C32*$C$7/100))</f>
        <v>0.0003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EQUSPX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391</v>
      </c>
    </row>
    <row r="33" customFormat="false" ht="12.75" hidden="false" customHeight="false" outlineLevel="0" collapsed="false">
      <c r="A33" s="216" t="s">
        <v>89</v>
      </c>
      <c r="B33" s="217" t="n">
        <v>0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Phragmites australis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0.0003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PHe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8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9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Phragmites australis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1579</v>
      </c>
      <c r="R33" s="211" t="n">
        <f aca="false">IF(ISTEXT(H33),"",(B33*$B$7/100)+(C33*$C$7/100))</f>
        <v>0.0003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9</v>
      </c>
      <c r="U33" s="212" t="n">
        <f aca="false">IF(ISERROR(S33*J33*K33),0,S33*J33*K33)</f>
        <v>18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PHRAUS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709</v>
      </c>
    </row>
    <row r="34" customFormat="false" ht="12.75" hidden="false" customHeight="false" outlineLevel="0" collapsed="false">
      <c r="A34" s="216" t="s">
        <v>90</v>
      </c>
      <c r="B34" s="217" t="n">
        <v>0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Veronica anagallis-aquatica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0.0003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PHe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8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11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Veronica anagallis-aquatica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1955</v>
      </c>
      <c r="R34" s="211" t="n">
        <f aca="false">IF(ISTEXT(H34),"",(B34*$B$7/100)+(C34*$C$7/100))</f>
        <v>0.0003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11</v>
      </c>
      <c r="U34" s="212" t="n">
        <f aca="false">IF(ISERROR(S34*J34*K34),0,S34*J34*K34)</f>
        <v>22</v>
      </c>
      <c r="V34" s="228" t="n">
        <f aca="false">IF(ISERROR(S34*K34),0,S34*K34)</f>
        <v>2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VERANA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740</v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6.9256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24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DROME</v>
      </c>
      <c r="B84" s="180" t="str">
        <f aca="false">C3</f>
        <v>DROME A CHABRILLAN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9.58333333333333</v>
      </c>
      <c r="E84" s="254" t="n">
        <f aca="false">O13</f>
        <v>12</v>
      </c>
      <c r="F84" s="180" t="n">
        <f aca="false">O14</f>
        <v>11</v>
      </c>
      <c r="G84" s="180" t="n">
        <f aca="false">O15</f>
        <v>5</v>
      </c>
      <c r="H84" s="180" t="n">
        <f aca="false">O16</f>
        <v>6</v>
      </c>
      <c r="I84" s="180" t="n">
        <f aca="false">O17</f>
        <v>0</v>
      </c>
      <c r="J84" s="255" t="n">
        <f aca="false">O8</f>
        <v>9.54545454545455</v>
      </c>
      <c r="K84" s="256" t="n">
        <f aca="false">O9</f>
        <v>3.05595205708575</v>
      </c>
      <c r="L84" s="257" t="n">
        <f aca="false">O10</f>
        <v>4</v>
      </c>
      <c r="M84" s="257" t="n">
        <f aca="false">O11</f>
        <v>13</v>
      </c>
      <c r="N84" s="256" t="n">
        <f aca="false">P8</f>
        <v>1.54545454545455</v>
      </c>
      <c r="O84" s="256" t="n">
        <f aca="false">P9</f>
        <v>0.497929597731969</v>
      </c>
      <c r="P84" s="257" t="n">
        <f aca="false">P10</f>
        <v>1</v>
      </c>
      <c r="Q84" s="257" t="n">
        <f aca="false">P11</f>
        <v>2</v>
      </c>
      <c r="R84" s="257" t="n">
        <f aca="false">F21</f>
        <v>6.9256</v>
      </c>
      <c r="S84" s="257" t="n">
        <f aca="false">L11</f>
        <v>0</v>
      </c>
      <c r="T84" s="257" t="n">
        <f aca="false">L12</f>
        <v>4</v>
      </c>
      <c r="U84" s="257" t="n">
        <f aca="false">L13</f>
        <v>5</v>
      </c>
      <c r="V84" s="258" t="n">
        <f aca="false">L15</f>
        <v>2</v>
      </c>
      <c r="W84" s="259" t="n">
        <f aca="false">L15</f>
        <v>2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91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92</v>
      </c>
      <c r="S87" s="8"/>
      <c r="T87" s="263" t="n">
        <f aca="false">VLOOKUP($T$91,($A$23:$U$82),20,FALSE())</f>
        <v>26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93</v>
      </c>
      <c r="S88" s="8"/>
      <c r="T88" s="263" t="n">
        <f aca="false">VLOOKUP($T$91,($A$23:$U$82),21,FALSE())</f>
        <v>52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94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95</v>
      </c>
      <c r="S90" s="8" t="s">
        <v>10</v>
      </c>
      <c r="T90" s="264" t="n">
        <f aca="false">IF(OR(ISERROR(SUM($U$23:$U$82)/SUM($V$23:$V$82)),F7&lt;&gt;100),-1,(SUM($U$23:$U$82)-T88)/(SUM($V$23:$V$82)-T89))</f>
        <v>8.9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96</v>
      </c>
      <c r="S91" s="212"/>
      <c r="T91" s="212" t="str">
        <f aca="false">INDEX('[1]liste reference'!$A$6:$A$1174,$U$91)</f>
        <v>CINRIP</v>
      </c>
      <c r="U91" s="8" t="n">
        <f aca="false">IF(ISERROR(MATCH($T$93,'[1]liste reference'!$A$6:$A$1174,0)),MATCH($T$93,'[1]liste reference'!$B$6:$B$1174,0),(MATCH($T$93,'[1]liste reference'!$A$6:$A$1174,0)))</f>
        <v>224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97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98</v>
      </c>
      <c r="S93" s="8"/>
      <c r="T93" s="212" t="str">
        <f aca="false">INDEX($A$23:$A$82,$T$92)</f>
        <v>CINRIP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2016-03-01T12:03:56Z</dcterms:created>
  <dc:creator>laurianne isebe</dc:creator>
  <dc:description/>
  <dc:language>fr-FR</dc:language>
  <cp:lastModifiedBy>laurianne isebe</cp:lastModifiedBy>
  <dcterms:modified xsi:type="dcterms:W3CDTF">2016-03-01T12:04:16Z</dcterms:modified>
  <cp:revision>0</cp:revision>
  <dc:subject/>
  <dc:title/>
</cp:coreProperties>
</file>