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<sst xmlns="http://schemas.openxmlformats.org/spreadsheetml/2006/main" count="111" uniqueCount="107">
  <si>
    <t xml:space="preserve">Relevés floristiques aquatiques - IBMR</t>
  </si>
  <si>
    <t xml:space="preserve">Formulaire modèle GIS Macrophytes v_2.6 - février 2012</t>
  </si>
  <si>
    <t xml:space="preserve">SAGE</t>
  </si>
  <si>
    <t xml:space="preserve">L.BOURGOIN S.RENAHY</t>
  </si>
  <si>
    <t xml:space="preserve">conforme AFNOR T90-395 oct. 2003</t>
  </si>
  <si>
    <t xml:space="preserve">Chassezac</t>
  </si>
  <si>
    <t xml:space="preserve">Chassezac à Berrias et Casteljau</t>
  </si>
  <si>
    <t xml:space="preserve">06580724</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</si>
  <si>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</si>
  <si>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</si>
  <si>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</si>
  <si>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</si>
  <si>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</si>
  <si>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</si>
  <si>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</si>
  <si>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</si>
  <si>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</si>
  <si>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</si>
  <si>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</si>
  <si>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</si>
  <si>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</si>
  <si>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</si>
  <si>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</si>
  <si>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</si>
  <si>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</si>
  <si>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</si>
  <si>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</si>
  <si>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</si>
  <si>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</si>
  <si>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</si>
  <si>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</si>
  <si>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</si>
  <si>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</si>
  <si>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</si>
  <si>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</si>
  <si>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</si>
  <si>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</si>
  <si>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</si>
  <si>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</si>
  <si>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</si>
  <si>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</si>
  <si>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</si>
  <si>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</si>
  <si>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</si>
  <si>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</si>
  <si>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</si>
  <si>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</si>
  <si>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</si>
  <si>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</si>
  <si>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</si>
  <si>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</si>
  <si>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</si>
  <si>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</si>
  <si>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</si>
  <si>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</si>
  <si>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</si>
  <si>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</si>
  <si>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</si>
  <si>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</si>
  <si>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</si>
  <si>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</si>
  <si>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</si>
  <si>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</si>
  <si>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</si>
  <si>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</si>
  <si>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</si>
  <si>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</si>
  <si>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</si>
  <si>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</si>
  <si>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</si>
  <si>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</si>
  <si>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</si>
  <si>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</si>
  <si>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</si>
  <si>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</si>
  <si>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</si>
  <si>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</si>
  <si>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</si>
  <si>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LEASPX</t>
  </si>
  <si>
    <t xml:space="preserve">LYNSPX</t>
  </si>
  <si>
    <t xml:space="preserve">MELSPX</t>
  </si>
  <si>
    <t xml:space="preserve">OEDSPX</t>
  </si>
  <si>
    <t xml:space="preserve">PHOSPX</t>
  </si>
  <si>
    <t xml:space="preserve">SPISPX</t>
  </si>
  <si>
    <t xml:space="preserve">STISPX</t>
  </si>
  <si>
    <t xml:space="preserve">Cf.</t>
  </si>
  <si>
    <t xml:space="preserve">TOYSPX</t>
  </si>
  <si>
    <t xml:space="preserve">ULOSPX</t>
  </si>
  <si>
    <t xml:space="preserve">VAUSPX</t>
  </si>
  <si>
    <t xml:space="preserve">ANEPIN</t>
  </si>
  <si>
    <t xml:space="preserve">FONHYP</t>
  </si>
  <si>
    <t xml:space="preserve">RANPSE</t>
  </si>
  <si>
    <t xml:space="preserve">REYJAP</t>
  </si>
  <si>
    <t xml:space="preserve">VERANA</t>
  </si>
  <si>
    <t xml:space="preserve">newcod</t>
  </si>
  <si>
    <t xml:space="preserve">Gomphoneis sp.</t>
  </si>
  <si>
    <t xml:space="preserve">Salix purpurea</t>
  </si>
  <si>
    <t xml:space="preserve">STITEN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</si>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</sst>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CHABE_19-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9.91891891891892</v>
      </c>
      <c r="M5" s="53"/>
      <c r="N5" s="54"/>
      <c r="O5" s="55" t="n">
        <v>9.32258064516129</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40</v>
      </c>
      <c r="C7" s="67" t="n">
        <v>60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9.8</v>
      </c>
      <c r="O8" s="83" t="n">
        <f aca="false">AVERAGE(J23:J82)</f>
        <v>1.73333333333333</v>
      </c>
      <c r="P8" s="84"/>
      <c r="Q8" s="10"/>
      <c r="R8" s="10"/>
      <c r="S8" s="10"/>
      <c r="T8" s="10"/>
      <c r="U8" s="10"/>
      <c r="V8" s="10"/>
      <c r="W8" s="22"/>
      <c r="X8" s="23"/>
    </row>
    <row r="9" customFormat="false" ht="13.5" hidden="false" customHeight="false" outlineLevel="0" collapsed="false">
      <c r="A9" s="43" t="s">
        <v>28</v>
      </c>
      <c r="B9" s="85" t="n">
        <v>4.21</v>
      </c>
      <c r="C9" s="86" t="n">
        <v>11.22</v>
      </c>
      <c r="D9" s="87"/>
      <c r="E9" s="87"/>
      <c r="F9" s="88" t="n">
        <f aca="false">($B9*$B$7+$C9*$C$7)/100</f>
        <v>8.416</v>
      </c>
      <c r="G9" s="89"/>
      <c r="H9" s="90"/>
      <c r="I9" s="91"/>
      <c r="J9" s="92"/>
      <c r="K9" s="73"/>
      <c r="L9" s="93"/>
      <c r="M9" s="82" t="s">
        <v>29</v>
      </c>
      <c r="N9" s="83" t="n">
        <f aca="false">STDEV(I23:I82)</f>
        <v>3.93155730686237</v>
      </c>
      <c r="O9" s="83" t="n">
        <f aca="false">STDEV(J23:J82)</f>
        <v>0.593616839704664</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3</v>
      </c>
      <c r="P11" s="106"/>
      <c r="Q11" s="10"/>
      <c r="R11" s="10"/>
      <c r="S11" s="10"/>
      <c r="T11" s="10"/>
      <c r="U11" s="10"/>
      <c r="V11" s="10"/>
    </row>
    <row r="12" customFormat="false" ht="12.75" hidden="false" customHeight="false" outlineLevel="0" collapsed="false">
      <c r="A12" s="116" t="s">
        <v>36</v>
      </c>
      <c r="B12" s="117" t="n">
        <v>4.11</v>
      </c>
      <c r="C12" s="118" t="n">
        <v>11.04</v>
      </c>
      <c r="D12" s="110"/>
      <c r="E12" s="110"/>
      <c r="F12" s="111" t="n">
        <f aca="false">($B12*$B$7+$C12*$C$7)/100</f>
        <v>8.268</v>
      </c>
      <c r="G12" s="119"/>
      <c r="H12" s="68"/>
      <c r="I12" s="120" t="s">
        <v>37</v>
      </c>
      <c r="J12" s="120"/>
      <c r="K12" s="114" t="n">
        <f aca="false">COUNTIF($G$23:$G$82,"=ALG")</f>
        <v>13</v>
      </c>
      <c r="L12" s="121"/>
      <c r="M12" s="122"/>
      <c r="N12" s="123" t="s">
        <v>31</v>
      </c>
      <c r="O12" s="124"/>
      <c r="P12" s="125"/>
      <c r="Q12" s="10"/>
      <c r="R12" s="10"/>
      <c r="S12" s="10"/>
      <c r="T12" s="10"/>
      <c r="U12" s="10"/>
      <c r="V12" s="10"/>
    </row>
    <row r="13" customFormat="false" ht="12.75" hidden="false" customHeight="false" outlineLevel="0" collapsed="false">
      <c r="A13" s="116" t="s">
        <v>38</v>
      </c>
      <c r="B13" s="117" t="n">
        <v>0.1</v>
      </c>
      <c r="C13" s="118" t="n">
        <v>0.02</v>
      </c>
      <c r="D13" s="110"/>
      <c r="E13" s="110"/>
      <c r="F13" s="111" t="n">
        <f aca="false">($B13*$B$7+$C13*$C$7)/100</f>
        <v>0.052</v>
      </c>
      <c r="G13" s="119"/>
      <c r="H13" s="68"/>
      <c r="I13" s="120" t="s">
        <v>39</v>
      </c>
      <c r="J13" s="120"/>
      <c r="K13" s="114" t="n">
        <f aca="false">COUNTIF($G$23:$G$82,"=BRm")+COUNTIF($G$23:$G$82,"=BRh")</f>
        <v>2</v>
      </c>
      <c r="L13" s="115"/>
      <c r="M13" s="126" t="s">
        <v>40</v>
      </c>
      <c r="N13" s="127" t="n">
        <f aca="false">COUNTIF(F23:F82,"&gt;0")</f>
        <v>20</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15</v>
      </c>
      <c r="O14" s="132"/>
      <c r="P14" s="129"/>
      <c r="Q14" s="10"/>
      <c r="R14" s="10"/>
      <c r="S14" s="10"/>
      <c r="T14" s="10"/>
      <c r="U14" s="10"/>
      <c r="V14" s="10"/>
    </row>
    <row r="15" customFormat="false" ht="12.75" hidden="false" customHeight="false" outlineLevel="0" collapsed="false">
      <c r="A15" s="133" t="s">
        <v>44</v>
      </c>
      <c r="B15" s="134"/>
      <c r="C15" s="135" t="n">
        <v>0.16</v>
      </c>
      <c r="D15" s="110"/>
      <c r="E15" s="110"/>
      <c r="F15" s="111" t="n">
        <f aca="false">($B15*$B$7+$C15*$C$7)/100</f>
        <v>0.096</v>
      </c>
      <c r="G15" s="119"/>
      <c r="H15" s="68"/>
      <c r="I15" s="120" t="s">
        <v>45</v>
      </c>
      <c r="J15" s="120"/>
      <c r="K15" s="114" t="n">
        <f aca="false">(COUNTIF($G$23:$G$82,"=PHy"))+(COUNTIF($G$23:$G$82,"=PHe"))+(COUNTIF($G$23:$G$82,"=PHg"))+(COUNTIF($G$23:$G$82,"=PHx"))</f>
        <v>3</v>
      </c>
      <c r="L15" s="115"/>
      <c r="M15" s="136" t="s">
        <v>46</v>
      </c>
      <c r="N15" s="137" t="n">
        <f aca="false">COUNTIF(J23:J82,"=1")</f>
        <v>5</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9</v>
      </c>
      <c r="O16" s="138"/>
      <c r="P16" s="129"/>
      <c r="Q16" s="10"/>
      <c r="R16" s="10"/>
      <c r="S16" s="10"/>
      <c r="T16" s="10"/>
      <c r="U16" s="10"/>
      <c r="V16" s="10"/>
    </row>
    <row r="17" customFormat="false" ht="12.75" hidden="false" customHeight="false" outlineLevel="0" collapsed="false">
      <c r="A17" s="116" t="s">
        <v>49</v>
      </c>
      <c r="B17" s="117" t="n">
        <v>4.21</v>
      </c>
      <c r="C17" s="118" t="n">
        <v>11.06</v>
      </c>
      <c r="D17" s="110"/>
      <c r="E17" s="110"/>
      <c r="F17" s="142"/>
      <c r="G17" s="111" t="n">
        <f aca="false">($B17*$B$7+$C17*$C$7)/100</f>
        <v>8.32</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0.16</v>
      </c>
      <c r="D18" s="110"/>
      <c r="E18" s="146" t="s">
        <v>52</v>
      </c>
      <c r="F18" s="142"/>
      <c r="G18" s="111" t="n">
        <f aca="false">($B18*$B$7+$C18*$C$7)/100</f>
        <v>0.096</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8.416</v>
      </c>
      <c r="G19" s="155" t="n">
        <f aca="false">SUM(G16:G18)</f>
        <v>8.416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4.175</v>
      </c>
      <c r="C20" s="165" t="n">
        <f aca="false">SUM(C23:C82)</f>
        <v>11.234</v>
      </c>
      <c r="D20" s="166"/>
      <c r="E20" s="167" t="s">
        <v>52</v>
      </c>
      <c r="F20" s="168" t="n">
        <f aca="false">($B20*$B$7+$C20*$C$7)/100</f>
        <v>8.4104</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1.67</v>
      </c>
      <c r="C21" s="178" t="n">
        <f aca="false">C20*C7/100</f>
        <v>6.7404</v>
      </c>
      <c r="D21" s="110" t="str">
        <f aca="false">IF(F21=0,"",IF((ABS(F21-F19))&gt;(0.2*F21),CONCATENATE(" rec. par taxa (",F21," %) supérieur à 20 % !"),""))</f>
        <v/>
      </c>
      <c r="E21" s="179" t="str">
        <f aca="false">IF(F21=0,"",IF((ABS(F21-F19))&gt;(0.2*F21),CONCATENATE("ATTENTION : écart entre rec. par grp (",F19," %) ","et",""),""))</f>
        <v/>
      </c>
      <c r="F21" s="180" t="n">
        <f aca="false">B21+C21</f>
        <v>8.4104</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2.85</v>
      </c>
      <c r="C23" s="205" t="n">
        <v>7.76</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5.796</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5.796</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0.02</v>
      </c>
      <c r="C24" s="224" t="n">
        <v>0.05</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0.038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0.038</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78</v>
      </c>
      <c r="B25" s="223" t="n">
        <v>0.1</v>
      </c>
      <c r="C25" s="224" t="n">
        <v>0</v>
      </c>
      <c r="D25" s="225" t="str">
        <f aca="false">IF(ISERROR(VLOOKUP($A25,'[1]liste reference'!$A$7:$D$892,2,0)),IF(ISERROR(VLOOKUP($A25,'[1]liste reference'!$B$7:$D$892,1,0)),"",VLOOKUP($A25,'[1]liste reference'!$B$7:$D$892,1,0)),VLOOKUP($A25,'[1]liste reference'!$A$7:$D$892,2,0))</f>
        <v>Lemanea sp.</v>
      </c>
      <c r="E25" s="225" t="e">
        <f aca="false">IF(D25="",0,VLOOKUP(D25,D$22:D24,1,0))</f>
        <v>#N/A</v>
      </c>
      <c r="F25" s="226" t="n">
        <f aca="false">($B25*$B$7+$C25*$C$7)/100</f>
        <v>0.04</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15</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Lemanea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1159</v>
      </c>
      <c r="Q25" s="215" t="n">
        <f aca="false">IF(ISTEXT(H25),"",(B25*$B$7/100)+(C25*$C$7/100))</f>
        <v>0.04</v>
      </c>
      <c r="R25" s="216" t="n">
        <f aca="false">IF(OR(ISTEXT(H25),Q25=0),"",IF(Q25&lt;0.1,1,IF(Q25&lt;1,2,IF(Q25&lt;10,3,IF(Q25&lt;50,4,IF(Q25&gt;=50,5,""))))))</f>
        <v>1</v>
      </c>
      <c r="S25" s="216" t="n">
        <f aca="false">IF(ISERROR(R25*I25),0,R25*I25)</f>
        <v>15</v>
      </c>
      <c r="T25" s="216" t="n">
        <f aca="false">IF(ISERROR(R25*I25*J25),0,R25*I25*J25)</f>
        <v>30</v>
      </c>
      <c r="U25" s="230" t="n">
        <f aca="false">IF(ISERROR(R25*J25),0,R25*J25)</f>
        <v>2</v>
      </c>
      <c r="V25" s="217" t="n">
        <v>2</v>
      </c>
      <c r="W25" s="218"/>
      <c r="Y25" s="219" t="str">
        <f aca="false">IF(A25="new.cod","NEWCOD",IF(AND((Z25=""),ISTEXT(A25)),A25,IF(Z25="","",INDEX('[1]liste reference'!$A$7:$A$892,Z25))))</f>
        <v>LEASPX</v>
      </c>
      <c r="Z25" s="10" t="n">
        <f aca="false">IF(ISERROR(MATCH(A25,'[1]liste reference'!$A$7:$A$892,0)),IF(ISERROR(MATCH(A25,'[1]liste reference'!$B$7:$B$892,0)),"",(MATCH(A25,'[1]liste reference'!$B$7:$B$892,0))),(MATCH(A25,'[1]liste reference'!$A$7:$A$892,0)))</f>
        <v>407</v>
      </c>
      <c r="AA25" s="220"/>
      <c r="AB25" s="221"/>
      <c r="AC25" s="221"/>
      <c r="BC25" s="10" t="n">
        <f aca="false">IF(A25="","",1)</f>
        <v>1</v>
      </c>
    </row>
    <row r="26" customFormat="false" ht="12.75" hidden="false" customHeight="false" outlineLevel="0" collapsed="false">
      <c r="A26" s="222" t="s">
        <v>79</v>
      </c>
      <c r="B26" s="223" t="n">
        <v>0.08</v>
      </c>
      <c r="C26" s="224" t="n">
        <v>0</v>
      </c>
      <c r="D26" s="225" t="str">
        <f aca="false">IF(ISERROR(VLOOKUP($A26,'[1]liste reference'!$A$7:$D$892,2,0)),IF(ISERROR(VLOOKUP($A26,'[1]liste reference'!$B$7:$D$892,1,0)),"",VLOOKUP($A26,'[1]liste reference'!$B$7:$D$892,1,0)),VLOOKUP($A26,'[1]liste reference'!$A$7:$D$892,2,0))</f>
        <v>Lyngbya sp.</v>
      </c>
      <c r="E26" s="225" t="e">
        <f aca="false">IF(D26="",0,VLOOKUP(D26,D$22:D25,1,0))</f>
        <v>#N/A</v>
      </c>
      <c r="F26" s="226" t="n">
        <f aca="false">($B26*$B$7+$C26*$C$7)/100</f>
        <v>0.032</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Lyngbya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117</v>
      </c>
      <c r="Q26" s="215" t="n">
        <f aca="false">IF(ISTEXT(H26),"",(B26*$B$7/100)+(C26*$C$7/100))</f>
        <v>0.032</v>
      </c>
      <c r="R26" s="216" t="n">
        <f aca="false">IF(OR(ISTEXT(H26),Q26=0),"",IF(Q26&lt;0.1,1,IF(Q26&lt;1,2,IF(Q26&lt;10,3,IF(Q26&lt;50,4,IF(Q26&gt;=50,5,""))))))</f>
        <v>1</v>
      </c>
      <c r="S26" s="216" t="n">
        <f aca="false">IF(ISERROR(R26*I26),0,R26*I26)</f>
        <v>10</v>
      </c>
      <c r="T26" s="216" t="n">
        <f aca="false">IF(ISERROR(R26*I26*J26),0,R26*I26*J26)</f>
        <v>20</v>
      </c>
      <c r="U26" s="230" t="n">
        <f aca="false">IF(ISERROR(R26*J26),0,R26*J26)</f>
        <v>2</v>
      </c>
      <c r="V26" s="217" t="n">
        <v>2</v>
      </c>
      <c r="W26" s="218"/>
      <c r="Y26" s="219" t="str">
        <f aca="false">IF(A26="new.cod","NEWCOD",IF(AND((Z26=""),ISTEXT(A26)),A26,IF(Z26="","",INDEX('[1]liste reference'!$A$7:$A$892,Z26))))</f>
        <v>LYNSPX</v>
      </c>
      <c r="Z26" s="10" t="n">
        <f aca="false">IF(ISERROR(MATCH(A26,'[1]liste reference'!$A$7:$A$892,0)),IF(ISERROR(MATCH(A26,'[1]liste reference'!$B$7:$B$892,0)),"",(MATCH(A26,'[1]liste reference'!$B$7:$B$892,0))),(MATCH(A26,'[1]liste reference'!$A$7:$A$892,0)))</f>
        <v>434</v>
      </c>
      <c r="AA26" s="220"/>
      <c r="AB26" s="221"/>
      <c r="AC26" s="221"/>
      <c r="BC26" s="10" t="n">
        <f aca="false">IF(A26="","",1)</f>
        <v>1</v>
      </c>
    </row>
    <row r="27" customFormat="false" ht="12.75" hidden="false" customHeight="false" outlineLevel="0" collapsed="false">
      <c r="A27" s="222" t="s">
        <v>80</v>
      </c>
      <c r="B27" s="223" t="n">
        <v>0</v>
      </c>
      <c r="C27" s="224" t="n">
        <v>0.01</v>
      </c>
      <c r="D27" s="225" t="str">
        <f aca="false">IF(ISERROR(VLOOKUP($A27,'[1]liste reference'!$A$7:$D$892,2,0)),IF(ISERROR(VLOOKUP($A27,'[1]liste reference'!$B$7:$D$892,1,0)),"",VLOOKUP($A27,'[1]liste reference'!$B$7:$D$892,1,0)),VLOOKUP($A27,'[1]liste reference'!$A$7:$D$892,2,0))</f>
        <v>Melosira sp.</v>
      </c>
      <c r="E27" s="225" t="e">
        <f aca="false">IF(D27="",0,VLOOKUP(D27,D$22:D26,1,0))</f>
        <v>#N/A</v>
      </c>
      <c r="F27" s="226" t="n">
        <f aca="false">($B27*$B$7+$C27*$C$7)/100</f>
        <v>0.006</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Melosira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8714</v>
      </c>
      <c r="Q27" s="215" t="n">
        <f aca="false">IF(ISTEXT(H27),"",(B27*$B$7/100)+(C27*$C$7/100))</f>
        <v>0.006</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MELSPX</v>
      </c>
      <c r="Z27" s="10" t="n">
        <f aca="false">IF(ISERROR(MATCH(A27,'[1]liste reference'!$A$7:$A$892,0)),IF(ISERROR(MATCH(A27,'[1]liste reference'!$B$7:$B$892,0)),"",(MATCH(A27,'[1]liste reference'!$B$7:$B$892,0))),(MATCH(A27,'[1]liste reference'!$A$7:$A$892,0)))</f>
        <v>457</v>
      </c>
      <c r="AA27" s="220"/>
      <c r="AB27" s="221"/>
      <c r="AC27" s="221"/>
      <c r="BC27" s="10" t="n">
        <f aca="false">IF(A27="","",1)</f>
        <v>1</v>
      </c>
    </row>
    <row r="28" customFormat="false" ht="12.75" hidden="false" customHeight="false" outlineLevel="0" collapsed="false">
      <c r="A28" s="222" t="s">
        <v>81</v>
      </c>
      <c r="B28" s="223" t="n">
        <v>0.07</v>
      </c>
      <c r="C28" s="224" t="n">
        <v>0.194</v>
      </c>
      <c r="D28" s="225" t="str">
        <f aca="false">IF(ISERROR(VLOOKUP($A28,'[1]liste reference'!$A$7:$D$892,2,0)),IF(ISERROR(VLOOKUP($A28,'[1]liste reference'!$B$7:$D$892,1,0)),"",VLOOKUP($A28,'[1]liste reference'!$B$7:$D$892,1,0)),VLOOKUP($A28,'[1]liste reference'!$A$7:$D$892,2,0))</f>
        <v>Oedogonium sp.</v>
      </c>
      <c r="E28" s="225" t="e">
        <f aca="false">IF(D28="",0,VLOOKUP(D28,D$22:D27,1,0))</f>
        <v>#N/A</v>
      </c>
      <c r="F28" s="226" t="n">
        <f aca="false">($B28*$B$7+$C28*$C$7)/100</f>
        <v>0.1444</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6</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Oedogonium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1134</v>
      </c>
      <c r="Q28" s="215" t="n">
        <f aca="false">IF(ISTEXT(H28),"",(B28*$B$7/100)+(C28*$C$7/100))</f>
        <v>0.1444</v>
      </c>
      <c r="R28" s="216" t="n">
        <f aca="false">IF(OR(ISTEXT(H28),Q28=0),"",IF(Q28&lt;0.1,1,IF(Q28&lt;1,2,IF(Q28&lt;10,3,IF(Q28&lt;50,4,IF(Q28&gt;=50,5,""))))))</f>
        <v>2</v>
      </c>
      <c r="S28" s="216" t="n">
        <f aca="false">IF(ISERROR(R28*I28),0,R28*I28)</f>
        <v>12</v>
      </c>
      <c r="T28" s="216" t="n">
        <f aca="false">IF(ISERROR(R28*I28*J28),0,R28*I28*J28)</f>
        <v>24</v>
      </c>
      <c r="U28" s="230" t="n">
        <f aca="false">IF(ISERROR(R28*J28),0,R28*J28)</f>
        <v>4</v>
      </c>
      <c r="V28" s="217" t="n">
        <v>4</v>
      </c>
      <c r="W28" s="218"/>
      <c r="Y28" s="219" t="str">
        <f aca="false">IF(A28="new.cod","NEWCOD",IF(AND((Z28=""),ISTEXT(A28)),A28,IF(Z28="","",INDEX('[1]liste reference'!$A$7:$A$892,Z28))))</f>
        <v>OEDSPX</v>
      </c>
      <c r="Z28" s="10" t="n">
        <f aca="false">IF(ISERROR(MATCH(A28,'[1]liste reference'!$A$7:$A$892,0)),IF(ISERROR(MATCH(A28,'[1]liste reference'!$B$7:$B$892,0)),"",(MATCH(A28,'[1]liste reference'!$B$7:$B$892,0))),(MATCH(A28,'[1]liste reference'!$A$7:$A$892,0)))</f>
        <v>542</v>
      </c>
      <c r="AA28" s="220"/>
      <c r="AB28" s="221"/>
      <c r="AC28" s="221"/>
      <c r="BC28" s="10" t="n">
        <f aca="false">IF(A28="","",1)</f>
        <v>1</v>
      </c>
    </row>
    <row r="29" customFormat="false" ht="12.75" hidden="false" customHeight="false" outlineLevel="0" collapsed="false">
      <c r="A29" s="222" t="s">
        <v>82</v>
      </c>
      <c r="B29" s="223" t="n">
        <v>0.01</v>
      </c>
      <c r="C29" s="224" t="n">
        <v>0.19</v>
      </c>
      <c r="D29" s="225" t="str">
        <f aca="false">IF(ISERROR(VLOOKUP($A29,'[1]liste reference'!$A$7:$D$892,2,0)),IF(ISERROR(VLOOKUP($A29,'[1]liste reference'!$B$7:$D$892,1,0)),"",VLOOKUP($A29,'[1]liste reference'!$B$7:$D$892,1,0)),VLOOKUP($A29,'[1]liste reference'!$A$7:$D$892,2,0))</f>
        <v>Phormidium sp.</v>
      </c>
      <c r="E29" s="225" t="e">
        <f aca="false">IF(D29="",0,VLOOKUP(D29,D$22:D28,1,0))</f>
        <v>#N/A</v>
      </c>
      <c r="F29" s="226" t="n">
        <f aca="false">($B29*$B$7+$C29*$C$7)/100</f>
        <v>0.118</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Phormidium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6414</v>
      </c>
      <c r="Q29" s="215" t="n">
        <f aca="false">IF(ISTEXT(H29),"",(B29*$B$7/100)+(C29*$C$7/100))</f>
        <v>0.118</v>
      </c>
      <c r="R29" s="216" t="n">
        <f aca="false">IF(OR(ISTEXT(H29),Q29=0),"",IF(Q29&lt;0.1,1,IF(Q29&lt;1,2,IF(Q29&lt;10,3,IF(Q29&lt;50,4,IF(Q29&gt;=50,5,""))))))</f>
        <v>2</v>
      </c>
      <c r="S29" s="216" t="n">
        <f aca="false">IF(ISERROR(R29*I29),0,R29*I29)</f>
        <v>26</v>
      </c>
      <c r="T29" s="216" t="n">
        <f aca="false">IF(ISERROR(R29*I29*J29),0,R29*I29*J29)</f>
        <v>52</v>
      </c>
      <c r="U29" s="230" t="n">
        <f aca="false">IF(ISERROR(R29*J29),0,R29*J29)</f>
        <v>4</v>
      </c>
      <c r="V29" s="217" t="n">
        <v>4</v>
      </c>
      <c r="W29" s="218"/>
      <c r="Y29" s="219" t="str">
        <f aca="false">IF(A29="new.cod","NEWCOD",IF(AND((Z29=""),ISTEXT(A29)),A29,IF(Z29="","",INDEX('[1]liste reference'!$A$7:$A$892,Z29))))</f>
        <v>PHOSPX</v>
      </c>
      <c r="Z29" s="10" t="n">
        <f aca="false">IF(ISERROR(MATCH(A29,'[1]liste reference'!$A$7:$A$892,0)),IF(ISERROR(MATCH(A29,'[1]liste reference'!$B$7:$B$892,0)),"",(MATCH(A29,'[1]liste reference'!$B$7:$B$892,0))),(MATCH(A29,'[1]liste reference'!$A$7:$A$892,0)))</f>
        <v>570</v>
      </c>
      <c r="AA29" s="220"/>
      <c r="AB29" s="221"/>
      <c r="AC29" s="221"/>
      <c r="BC29" s="10" t="n">
        <f aca="false">IF(A29="","",1)</f>
        <v>1</v>
      </c>
    </row>
    <row r="30" customFormat="false" ht="12.75" hidden="false" customHeight="false" outlineLevel="0" collapsed="false">
      <c r="A30" s="222" t="s">
        <v>83</v>
      </c>
      <c r="B30" s="223" t="n">
        <v>0.9</v>
      </c>
      <c r="C30" s="224" t="n">
        <v>0.01</v>
      </c>
      <c r="D30" s="225" t="str">
        <f aca="false">IF(ISERROR(VLOOKUP($A30,'[1]liste reference'!$A$7:$D$892,2,0)),IF(ISERROR(VLOOKUP($A30,'[1]liste reference'!$B$7:$D$892,1,0)),"",VLOOKUP($A30,'[1]liste reference'!$B$7:$D$892,1,0)),VLOOKUP($A30,'[1]liste reference'!$A$7:$D$892,2,0))</f>
        <v>Spirogyra sp.</v>
      </c>
      <c r="E30" s="225" t="e">
        <f aca="false">IF(D30="",0,VLOOKUP(D30,D$22:D29,1,0))</f>
        <v>#N/A</v>
      </c>
      <c r="F30" s="226" t="n">
        <f aca="false">($B30*$B$7+$C30*$C$7)/100</f>
        <v>0.366</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Spirogyra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1147</v>
      </c>
      <c r="Q30" s="215" t="n">
        <f aca="false">IF(ISTEXT(H30),"",(B30*$B$7/100)+(C30*$C$7/100))</f>
        <v>0.366</v>
      </c>
      <c r="R30" s="216" t="n">
        <f aca="false">IF(OR(ISTEXT(H30),Q30=0),"",IF(Q30&lt;0.1,1,IF(Q30&lt;1,2,IF(Q30&lt;10,3,IF(Q30&lt;50,4,IF(Q30&gt;=50,5,""))))))</f>
        <v>2</v>
      </c>
      <c r="S30" s="216" t="n">
        <f aca="false">IF(ISERROR(R30*I30),0,R30*I30)</f>
        <v>20</v>
      </c>
      <c r="T30" s="216" t="n">
        <f aca="false">IF(ISERROR(R30*I30*J30),0,R30*I30*J30)</f>
        <v>20</v>
      </c>
      <c r="U30" s="230" t="n">
        <f aca="false">IF(ISERROR(R30*J30),0,R30*J30)</f>
        <v>2</v>
      </c>
      <c r="V30" s="217" t="n">
        <v>2</v>
      </c>
      <c r="W30" s="218"/>
      <c r="Y30" s="219" t="str">
        <f aca="false">IF(A30="new.cod","NEWCOD",IF(AND((Z30=""),ISTEXT(A30)),A30,IF(Z30="","",INDEX('[1]liste reference'!$A$7:$A$892,Z30))))</f>
        <v>SPISPX</v>
      </c>
      <c r="Z30" s="10" t="n">
        <f aca="false">IF(ISERROR(MATCH(A30,'[1]liste reference'!$A$7:$A$892,0)),IF(ISERROR(MATCH(A30,'[1]liste reference'!$B$7:$B$892,0)),"",(MATCH(A30,'[1]liste reference'!$B$7:$B$892,0))),(MATCH(A30,'[1]liste reference'!$A$7:$A$892,0)))</f>
        <v>815</v>
      </c>
      <c r="AA30" s="220"/>
      <c r="AB30" s="221"/>
      <c r="AC30" s="221"/>
      <c r="BC30" s="10" t="n">
        <f aca="false">IF(A30="","",1)</f>
        <v>1</v>
      </c>
    </row>
    <row r="31" customFormat="false" ht="12.75" hidden="false" customHeight="false" outlineLevel="0" collapsed="false">
      <c r="A31" s="222" t="s">
        <v>84</v>
      </c>
      <c r="B31" s="223" t="n">
        <v>0</v>
      </c>
      <c r="C31" s="224" t="n">
        <v>2.73</v>
      </c>
      <c r="D31" s="225" t="str">
        <f aca="false">IF(ISERROR(VLOOKUP($A31,'[1]liste reference'!$A$7:$D$892,2,0)),IF(ISERROR(VLOOKUP($A31,'[1]liste reference'!$B$7:$D$892,1,0)),"",VLOOKUP($A31,'[1]liste reference'!$B$7:$D$892,1,0)),VLOOKUP($A31,'[1]liste reference'!$A$7:$D$892,2,0))</f>
        <v>Stigeoclonium sp.</v>
      </c>
      <c r="E31" s="225" t="e">
        <f aca="false">IF(D31="",0,VLOOKUP(D31,D$22:D30,1,0))</f>
        <v>#N/A</v>
      </c>
      <c r="F31" s="226" t="n">
        <f aca="false">($B31*$B$7+$C31*$C$7)/100</f>
        <v>1.638</v>
      </c>
      <c r="G31" s="227" t="str">
        <f aca="false">IF(A31="","",IF(ISERROR(VLOOKUP($A31,'[1]liste reference'!$A$7:$P$892,13,0)),IF(ISERROR(VLOOKUP($A31,'[1]liste reference'!$B$7:$P$892,12,0)),"    -",VLOOKUP($A31,'[1]liste reference'!$B$7:$P$892,12,0)),VLOOKUP($A31,'[1]liste reference'!$A$7:$P$892,13,0)))</f>
        <v>ALG</v>
      </c>
      <c r="H31" s="209" t="n">
        <f aca="false">IF(A31="","x",IF(ISERROR(VLOOKUP($A31,'[1]liste reference'!$A$7:$P$892,14,0)),IF(ISERROR(VLOOKUP($A31,'[1]liste reference'!$B$7:$P$892,13,0)),"x",VLOOKUP($A31,'[1]liste reference'!$B$7:$P$892,13,0)),VLOOKUP($A31,'[1]liste reference'!$A$7:$P$892,14,0)))</f>
        <v>2</v>
      </c>
      <c r="I31" s="228" t="n">
        <f aca="false">IF(ISNUMBER(H31),IF(ISERROR(VLOOKUP($A31,'[1]liste reference'!$A$7:$P$892,3,0)),IF(ISERROR(VLOOKUP($A31,'[1]liste reference'!$B$7:$P$892,2,0)),"",VLOOKUP($A31,'[1]liste reference'!$B$7:$P$892,2,0)),VLOOKUP($A31,'[1]liste reference'!$A$7:$P$892,3,0)),"")</f>
        <v>13</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Stigeoclonium sp.</v>
      </c>
      <c r="L31" s="229"/>
      <c r="M31" s="229"/>
      <c r="N31" s="229"/>
      <c r="O31" s="214" t="str">
        <f aca="false">IF(AA31="Cf.","Cf.","")</f>
        <v>Cf.</v>
      </c>
      <c r="P31" s="214" t="n">
        <f aca="false">IF($A31="NEWCOD",IF($AC31="","No",$AC31),IF(ISTEXT($E31),"DEJA SAISI !",IF($A31="","",IF(ISERROR(VLOOKUP($A31,'[1]liste reference'!A$1:S$1048576,19,FALSE())),IF(ISERROR(VLOOKUP($A31,'[1]liste reference'!B$1:S$1048576,19,FALSE())),"",VLOOKUP($A31,'[1]liste reference'!B$1:S$1048576,19,FALSE())),VLOOKUP($A31,'[1]liste reference'!A$1:S$1048576,19,FALSE())))))</f>
        <v>1119</v>
      </c>
      <c r="Q31" s="215" t="n">
        <f aca="false">IF(ISTEXT(H31),"",(B31*$B$7/100)+(C31*$C$7/100))</f>
        <v>1.638</v>
      </c>
      <c r="R31" s="216" t="n">
        <f aca="false">IF(OR(ISTEXT(H31),Q31=0),"",IF(Q31&lt;0.1,1,IF(Q31&lt;1,2,IF(Q31&lt;10,3,IF(Q31&lt;50,4,IF(Q31&gt;=50,5,""))))))</f>
        <v>3</v>
      </c>
      <c r="S31" s="216" t="n">
        <f aca="false">IF(ISERROR(R31*I31),0,R31*I31)</f>
        <v>39</v>
      </c>
      <c r="T31" s="216" t="n">
        <f aca="false">IF(ISERROR(R31*I31*J31),0,R31*I31*J31)</f>
        <v>78</v>
      </c>
      <c r="U31" s="230" t="n">
        <f aca="false">IF(ISERROR(R31*J31),0,R31*J31)</f>
        <v>6</v>
      </c>
      <c r="V31" s="217" t="n">
        <v>6</v>
      </c>
      <c r="W31" s="218"/>
      <c r="Y31" s="219" t="str">
        <f aca="false">IF(A31="new.cod","NEWCOD",IF(AND((Z31=""),ISTEXT(A31)),A31,IF(Z31="","",INDEX('[1]liste reference'!$A$7:$A$892,Z31))))</f>
        <v>STISPX</v>
      </c>
      <c r="Z31" s="10" t="n">
        <f aca="false">IF(ISERROR(MATCH(A31,'[1]liste reference'!$A$7:$A$892,0)),IF(ISERROR(MATCH(A31,'[1]liste reference'!$B$7:$B$892,0)),"",(MATCH(A31,'[1]liste reference'!$B$7:$B$892,0))),(MATCH(A31,'[1]liste reference'!$A$7:$A$892,0)))</f>
        <v>823</v>
      </c>
      <c r="AA31" s="220" t="s">
        <v>85</v>
      </c>
      <c r="AB31" s="221"/>
      <c r="AC31" s="221"/>
      <c r="BC31" s="10" t="n">
        <f aca="false">IF(A31="","",1)</f>
        <v>1</v>
      </c>
    </row>
    <row r="32" customFormat="false" ht="12.75" hidden="false" customHeight="false" outlineLevel="0" collapsed="false">
      <c r="A32" s="222" t="s">
        <v>86</v>
      </c>
      <c r="B32" s="223" t="n">
        <v>0.03</v>
      </c>
      <c r="C32" s="224" t="n">
        <v>0.06</v>
      </c>
      <c r="D32" s="225" t="str">
        <f aca="false">IF(ISERROR(VLOOKUP($A32,'[1]liste reference'!$A$7:$D$892,2,0)),IF(ISERROR(VLOOKUP($A32,'[1]liste reference'!$B$7:$D$892,1,0)),"",VLOOKUP($A32,'[1]liste reference'!$B$7:$D$892,1,0)),VLOOKUP($A32,'[1]liste reference'!$A$7:$D$892,2,0))</f>
        <v>Tolypothrix sp.</v>
      </c>
      <c r="E32" s="225" t="e">
        <f aca="false">IF(D32="",0,VLOOKUP(D32,D$22:D31,1,0))</f>
        <v>#N/A</v>
      </c>
      <c r="F32" s="226" t="n">
        <f aca="false">($B32*$B$7+$C32*$C$7)/100</f>
        <v>0.048</v>
      </c>
      <c r="G32" s="227" t="str">
        <f aca="false">IF(A32="","",IF(ISERROR(VLOOKUP($A32,'[1]liste reference'!$A$7:$P$892,13,0)),IF(ISERROR(VLOOKUP($A32,'[1]liste reference'!$B$7:$P$892,12,0)),"    -",VLOOKUP($A32,'[1]liste reference'!$B$7:$P$892,12,0)),VLOOKUP($A32,'[1]liste reference'!$A$7:$P$892,13,0)))</f>
        <v>ALG</v>
      </c>
      <c r="H32" s="209" t="n">
        <f aca="false">IF(A32="","x",IF(ISERROR(VLOOKUP($A32,'[1]liste reference'!$A$7:$P$892,14,0)),IF(ISERROR(VLOOKUP($A32,'[1]liste reference'!$B$7:$P$892,13,0)),"x",VLOOKUP($A32,'[1]liste reference'!$B$7:$P$892,13,0)),VLOOKUP($A32,'[1]liste reference'!$A$7:$P$892,14,0)))</f>
        <v>2</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Tolypothrix sp.</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634</v>
      </c>
      <c r="Q32" s="215" t="n">
        <f aca="false">IF(ISTEXT(H32),"",(B32*$B$7/100)+(C32*$C$7/100))</f>
        <v>0.048</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TOYSPX</v>
      </c>
      <c r="Z32" s="10" t="n">
        <f aca="false">IF(ISERROR(MATCH(A32,'[1]liste reference'!$A$7:$A$892,0)),IF(ISERROR(MATCH(A32,'[1]liste reference'!$B$7:$B$892,0)),"",(MATCH(A32,'[1]liste reference'!$B$7:$B$892,0))),(MATCH(A32,'[1]liste reference'!$A$7:$A$892,0)))</f>
        <v>840</v>
      </c>
      <c r="AA32" s="220"/>
      <c r="AB32" s="221"/>
      <c r="AC32" s="221"/>
      <c r="BC32" s="10" t="n">
        <f aca="false">IF(A32="","",1)</f>
        <v>1</v>
      </c>
    </row>
    <row r="33" customFormat="false" ht="12.75" hidden="false" customHeight="false" outlineLevel="0" collapsed="false">
      <c r="A33" s="222" t="s">
        <v>87</v>
      </c>
      <c r="B33" s="223" t="n">
        <v>0.02</v>
      </c>
      <c r="C33" s="224" t="n">
        <v>0.03</v>
      </c>
      <c r="D33" s="225" t="str">
        <f aca="false">IF(ISERROR(VLOOKUP($A33,'[1]liste reference'!$A$7:$D$892,2,0)),IF(ISERROR(VLOOKUP($A33,'[1]liste reference'!$B$7:$D$892,1,0)),"",VLOOKUP($A33,'[1]liste reference'!$B$7:$D$892,1,0)),VLOOKUP($A33,'[1]liste reference'!$A$7:$D$892,2,0))</f>
        <v>Ulothrix sp.</v>
      </c>
      <c r="E33" s="225" t="e">
        <f aca="false">IF(D33="",0,VLOOKUP(D33,D$22:D32,1,0))</f>
        <v>#N/A</v>
      </c>
      <c r="F33" s="226" t="n">
        <f aca="false">($B33*$B$7+$C33*$C$7)/100</f>
        <v>0.026</v>
      </c>
      <c r="G33" s="227" t="str">
        <f aca="false">IF(A33="","",IF(ISERROR(VLOOKUP($A33,'[1]liste reference'!$A$7:$P$892,13,0)),IF(ISERROR(VLOOKUP($A33,'[1]liste reference'!$B$7:$P$892,12,0)),"    -",VLOOKUP($A33,'[1]liste reference'!$B$7:$P$892,12,0)),VLOOKUP($A33,'[1]liste reference'!$A$7:$P$892,13,0)))</f>
        <v>ALG</v>
      </c>
      <c r="H33" s="209" t="n">
        <f aca="false">IF(A33="","x",IF(ISERROR(VLOOKUP($A33,'[1]liste reference'!$A$7:$P$892,14,0)),IF(ISERROR(VLOOKUP($A33,'[1]liste reference'!$B$7:$P$892,13,0)),"x",VLOOKUP($A33,'[1]liste reference'!$B$7:$P$892,13,0)),VLOOKUP($A33,'[1]liste reference'!$A$7:$P$892,14,0)))</f>
        <v>2</v>
      </c>
      <c r="I33" s="228" t="n">
        <f aca="false">IF(ISNUMBER(H33),IF(ISERROR(VLOOKUP($A33,'[1]liste reference'!$A$7:$P$892,3,0)),IF(ISERROR(VLOOKUP($A33,'[1]liste reference'!$B$7:$P$892,2,0)),"",VLOOKUP($A33,'[1]liste reference'!$B$7:$P$892,2,0)),VLOOKUP($A33,'[1]liste reference'!$A$7:$P$892,3,0)),"")</f>
        <v>10</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Ulothrix sp.</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1142</v>
      </c>
      <c r="Q33" s="215" t="n">
        <f aca="false">IF(ISTEXT(H33),"",(B33*$B$7/100)+(C33*$C$7/100))</f>
        <v>0.026</v>
      </c>
      <c r="R33" s="216" t="n">
        <f aca="false">IF(OR(ISTEXT(H33),Q33=0),"",IF(Q33&lt;0.1,1,IF(Q33&lt;1,2,IF(Q33&lt;10,3,IF(Q33&lt;50,4,IF(Q33&gt;=50,5,""))))))</f>
        <v>1</v>
      </c>
      <c r="S33" s="216" t="n">
        <f aca="false">IF(ISERROR(R33*I33),0,R33*I33)</f>
        <v>10</v>
      </c>
      <c r="T33" s="216" t="n">
        <f aca="false">IF(ISERROR(R33*I33*J33),0,R33*I33*J33)</f>
        <v>10</v>
      </c>
      <c r="U33" s="230" t="n">
        <f aca="false">IF(ISERROR(R33*J33),0,R33*J33)</f>
        <v>1</v>
      </c>
      <c r="V33" s="217" t="n">
        <v>1</v>
      </c>
      <c r="W33" s="218"/>
      <c r="Y33" s="219" t="str">
        <f aca="false">IF(A33="new.cod","NEWCOD",IF(AND((Z33=""),ISTEXT(A33)),A33,IF(Z33="","",INDEX('[1]liste reference'!$A$7:$A$892,Z33))))</f>
        <v>ULOSPX</v>
      </c>
      <c r="Z33" s="10" t="n">
        <f aca="false">IF(ISERROR(MATCH(A33,'[1]liste reference'!$A$7:$A$892,0)),IF(ISERROR(MATCH(A33,'[1]liste reference'!$B$7:$B$892,0)),"",(MATCH(A33,'[1]liste reference'!$B$7:$B$892,0))),(MATCH(A33,'[1]liste reference'!$A$7:$A$892,0)))</f>
        <v>851</v>
      </c>
      <c r="AA33" s="220"/>
      <c r="AB33" s="221"/>
      <c r="AC33" s="221"/>
      <c r="BC33" s="10" t="n">
        <f aca="false">IF(A33="","",1)</f>
        <v>1</v>
      </c>
    </row>
    <row r="34" customFormat="false" ht="12.75" hidden="false" customHeight="false" outlineLevel="0" collapsed="false">
      <c r="A34" s="222" t="s">
        <v>88</v>
      </c>
      <c r="B34" s="223" t="n">
        <v>0</v>
      </c>
      <c r="C34" s="224" t="n">
        <v>0.01</v>
      </c>
      <c r="D34" s="225" t="str">
        <f aca="false">IF(ISERROR(VLOOKUP($A34,'[1]liste reference'!$A$7:$D$892,2,0)),IF(ISERROR(VLOOKUP($A34,'[1]liste reference'!$B$7:$D$892,1,0)),"",VLOOKUP($A34,'[1]liste reference'!$B$7:$D$892,1,0)),VLOOKUP($A34,'[1]liste reference'!$A$7:$D$892,2,0))</f>
        <v>Vaucheria sp.</v>
      </c>
      <c r="E34" s="225" t="e">
        <f aca="false">IF(D34="",0,VLOOKUP(D34,D$22:D33,1,0))</f>
        <v>#N/A</v>
      </c>
      <c r="F34" s="232" t="n">
        <f aca="false">($B34*$B$7+$C34*$C$7)/100</f>
        <v>0.006</v>
      </c>
      <c r="G34" s="227" t="str">
        <f aca="false">IF(A34="","",IF(ISERROR(VLOOKUP($A34,'[1]liste reference'!$A$7:$P$892,13,0)),IF(ISERROR(VLOOKUP($A34,'[1]liste reference'!$B$7:$P$892,12,0)),"    -",VLOOKUP($A34,'[1]liste reference'!$B$7:$P$892,12,0)),VLOOKUP($A34,'[1]liste reference'!$A$7:$P$892,13,0)))</f>
        <v>ALG</v>
      </c>
      <c r="H34" s="209" t="n">
        <f aca="false">IF(A34="","x",IF(ISERROR(VLOOKUP($A34,'[1]liste reference'!$A$7:$P$892,14,0)),IF(ISERROR(VLOOKUP($A34,'[1]liste reference'!$B$7:$P$892,13,0)),"x",VLOOKUP($A34,'[1]liste reference'!$B$7:$P$892,13,0)),VLOOKUP($A34,'[1]liste reference'!$A$7:$P$892,14,0)))</f>
        <v>2</v>
      </c>
      <c r="I34" s="228" t="n">
        <f aca="false">IF(ISNUMBER(H34),IF(ISERROR(VLOOKUP($A34,'[1]liste reference'!$A$7:$P$892,3,0)),IF(ISERROR(VLOOKUP($A34,'[1]liste reference'!$B$7:$P$892,2,0)),"",VLOOKUP($A34,'[1]liste reference'!$B$7:$P$892,2,0)),VLOOKUP($A34,'[1]liste reference'!$A$7:$P$892,3,0)),"")</f>
        <v>4</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Vaucheria sp.</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6193</v>
      </c>
      <c r="Q34" s="215" t="n">
        <f aca="false">IF(ISTEXT(H34),"",(B34*$B$7/100)+(C34*$C$7/100))</f>
        <v>0.006</v>
      </c>
      <c r="R34" s="216" t="n">
        <f aca="false">IF(OR(ISTEXT(H34),Q34=0),"",IF(Q34&lt;0.1,1,IF(Q34&lt;1,2,IF(Q34&lt;10,3,IF(Q34&lt;50,4,IF(Q34&gt;=50,5,""))))))</f>
        <v>1</v>
      </c>
      <c r="S34" s="216" t="n">
        <f aca="false">IF(ISERROR(R34*I34),0,R34*I34)</f>
        <v>4</v>
      </c>
      <c r="T34" s="216" t="n">
        <f aca="false">IF(ISERROR(R34*I34*J34),0,R34*I34*J34)</f>
        <v>4</v>
      </c>
      <c r="U34" s="230" t="n">
        <f aca="false">IF(ISERROR(R34*J34),0,R34*J34)</f>
        <v>1</v>
      </c>
      <c r="V34" s="217" t="n">
        <v>1</v>
      </c>
      <c r="W34" s="218"/>
      <c r="Y34" s="219" t="str">
        <f aca="false">IF(A34="new.cod","NEWCOD",IF(AND((Z34=""),ISTEXT(A34)),A34,IF(Z34="","",INDEX('[1]liste reference'!$A$7:$A$892,Z34))))</f>
        <v>VAUSPX</v>
      </c>
      <c r="Z34" s="10" t="n">
        <f aca="false">IF(ISERROR(MATCH(A34,'[1]liste reference'!$A$7:$A$892,0)),IF(ISERROR(MATCH(A34,'[1]liste reference'!$B$7:$B$892,0)),"",(MATCH(A34,'[1]liste reference'!$B$7:$B$892,0))),(MATCH(A34,'[1]liste reference'!$A$7:$A$892,0)))</f>
        <v>864</v>
      </c>
      <c r="AA34" s="220"/>
      <c r="AB34" s="221"/>
      <c r="AC34" s="221"/>
      <c r="BC34" s="10" t="n">
        <f aca="false">IF(A34="","",1)</f>
        <v>1</v>
      </c>
    </row>
    <row r="35" customFormat="false" ht="12.75" hidden="false" customHeight="false" outlineLevel="0" collapsed="false">
      <c r="A35" s="222" t="s">
        <v>89</v>
      </c>
      <c r="B35" s="223" t="n">
        <v>0.095</v>
      </c>
      <c r="C35" s="224" t="n">
        <v>0.01</v>
      </c>
      <c r="D35" s="225" t="str">
        <f aca="false">IF(ISERROR(VLOOKUP($A35,'[1]liste reference'!$A$7:$D$892,2,0)),IF(ISERROR(VLOOKUP($A35,'[1]liste reference'!$B$7:$D$892,1,0)),"",VLOOKUP($A35,'[1]liste reference'!$B$7:$D$892,1,0)),VLOOKUP($A35,'[1]liste reference'!$A$7:$D$892,2,0))</f>
        <v>Aneura pinguis</v>
      </c>
      <c r="E35" s="225" t="e">
        <f aca="false">IF(D35="",0,VLOOKUP(D35,D$22:D34,1,0))</f>
        <v>#N/A</v>
      </c>
      <c r="F35" s="232" t="n">
        <f aca="false">($B35*$B$7+$C35*$C$7)/100</f>
        <v>0.044</v>
      </c>
      <c r="G35" s="227" t="str">
        <f aca="false">IF(A35="","",IF(ISERROR(VLOOKUP($A35,'[1]liste reference'!$A$7:$P$892,13,0)),IF(ISERROR(VLOOKUP($A35,'[1]liste reference'!$B$7:$P$892,12,0)),"    -",VLOOKUP($A35,'[1]liste reference'!$B$7:$P$892,12,0)),VLOOKUP($A35,'[1]liste reference'!$A$7:$P$892,13,0)))</f>
        <v>BRh</v>
      </c>
      <c r="H35" s="209" t="n">
        <f aca="false">IF(A35="","x",IF(ISERROR(VLOOKUP($A35,'[1]liste reference'!$A$7:$P$892,14,0)),IF(ISERROR(VLOOKUP($A35,'[1]liste reference'!$B$7:$P$892,13,0)),"x",VLOOKUP($A35,'[1]liste reference'!$B$7:$P$892,13,0)),VLOOKUP($A35,'[1]liste reference'!$A$7:$P$892,14,0)))</f>
        <v>4</v>
      </c>
      <c r="I35" s="228" t="n">
        <f aca="false">IF(ISNUMBER(H35),IF(ISERROR(VLOOKUP($A35,'[1]liste reference'!$A$7:$P$892,3,0)),IF(ISERROR(VLOOKUP($A35,'[1]liste reference'!$B$7:$P$892,2,0)),"",VLOOKUP($A35,'[1]liste reference'!$B$7:$P$892,2,0)),VLOOKUP($A35,'[1]liste reference'!$A$7:$P$892,3,0)),"")</f>
        <v>14</v>
      </c>
      <c r="J35" s="211" t="n">
        <f aca="false">IF(ISNUMBER(H35),IF(ISERROR(VLOOKUP($A35,'[1]liste reference'!$A$7:$P$892,4,0)),IF(ISERROR(VLOOKUP($A35,'[1]liste reference'!$B$7:$P$892,3,0)),"",VLOOKUP($A35,'[1]liste reference'!$B$7:$P$892,3,0)),VLOOKUP($A35,'[1]liste reference'!$A$7:$P$892,4,0)),"")</f>
        <v>2</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Aneura pinguis</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126</v>
      </c>
      <c r="Q35" s="215" t="n">
        <f aca="false">IF(ISTEXT(H35),"",(B35*$B$7/100)+(C35*$C$7/100))</f>
        <v>0.044</v>
      </c>
      <c r="R35" s="216" t="n">
        <f aca="false">IF(OR(ISTEXT(H35),Q35=0),"",IF(Q35&lt;0.1,1,IF(Q35&lt;1,2,IF(Q35&lt;10,3,IF(Q35&lt;50,4,IF(Q35&gt;=50,5,""))))))</f>
        <v>1</v>
      </c>
      <c r="S35" s="216" t="n">
        <f aca="false">IF(ISERROR(R35*I35),0,R35*I35)</f>
        <v>14</v>
      </c>
      <c r="T35" s="216" t="n">
        <f aca="false">IF(ISERROR(R35*I35*J35),0,R35*I35*J35)</f>
        <v>28</v>
      </c>
      <c r="U35" s="230" t="n">
        <f aca="false">IF(ISERROR(R35*J35),0,R35*J35)</f>
        <v>2</v>
      </c>
      <c r="V35" s="217" t="n">
        <v>2</v>
      </c>
      <c r="W35" s="218"/>
      <c r="Y35" s="219" t="str">
        <f aca="false">IF(A35="new.cod","NEWCOD",IF(AND((Z35=""),ISTEXT(A35)),A35,IF(Z35="","",INDEX('[1]liste reference'!$A$7:$A$892,Z35))))</f>
        <v>ANEPIN</v>
      </c>
      <c r="Z35" s="10" t="n">
        <f aca="false">IF(ISERROR(MATCH(A35,'[1]liste reference'!$A$7:$A$892,0)),IF(ISERROR(MATCH(A35,'[1]liste reference'!$B$7:$B$892,0)),"",(MATCH(A35,'[1]liste reference'!$B$7:$B$892,0))),(MATCH(A35,'[1]liste reference'!$A$7:$A$892,0)))</f>
        <v>28</v>
      </c>
      <c r="AA35" s="220"/>
      <c r="AB35" s="221"/>
      <c r="AC35" s="221"/>
      <c r="BC35" s="10" t="n">
        <f aca="false">IF(A35="","",1)</f>
        <v>1</v>
      </c>
    </row>
    <row r="36" customFormat="false" ht="12.75" hidden="false" customHeight="false" outlineLevel="0" collapsed="false">
      <c r="A36" s="222" t="s">
        <v>90</v>
      </c>
      <c r="B36" s="223" t="n">
        <v>0</v>
      </c>
      <c r="C36" s="224" t="n">
        <v>0.01</v>
      </c>
      <c r="D36" s="225" t="str">
        <f aca="false">IF(ISERROR(VLOOKUP($A36,'[1]liste reference'!$A$7:$D$892,2,0)),IF(ISERROR(VLOOKUP($A36,'[1]liste reference'!$B$7:$D$892,1,0)),"",VLOOKUP($A36,'[1]liste reference'!$B$7:$D$892,1,0)),VLOOKUP($A36,'[1]liste reference'!$A$7:$D$892,2,0))</f>
        <v>Fontinalis hypnoides</v>
      </c>
      <c r="E36" s="225" t="e">
        <f aca="false">IF(D36="",0,VLOOKUP(D36,D$22:D35,1,0))</f>
        <v>#N/A</v>
      </c>
      <c r="F36" s="232" t="n">
        <f aca="false">($B36*$B$7+$C36*$C$7)/100</f>
        <v>0.006</v>
      </c>
      <c r="G36" s="227" t="str">
        <f aca="false">IF(A36="","",IF(ISERROR(VLOOKUP($A36,'[1]liste reference'!$A$7:$P$892,13,0)),IF(ISERROR(VLOOKUP($A36,'[1]liste reference'!$B$7:$P$892,12,0)),"    -",VLOOKUP($A36,'[1]liste reference'!$B$7:$P$892,12,0)),VLOOKUP($A36,'[1]liste reference'!$A$7:$P$892,13,0)))</f>
        <v>BRm</v>
      </c>
      <c r="H36" s="209" t="n">
        <f aca="false">IF(A36="","x",IF(ISERROR(VLOOKUP($A36,'[1]liste reference'!$A$7:$P$892,14,0)),IF(ISERROR(VLOOKUP($A36,'[1]liste reference'!$B$7:$P$892,13,0)),"x",VLOOKUP($A36,'[1]liste reference'!$B$7:$P$892,13,0)),VLOOKUP($A36,'[1]liste reference'!$A$7:$P$892,14,0)))</f>
        <v>5</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Fontinalis hypnoides</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1238</v>
      </c>
      <c r="Q36" s="215" t="n">
        <f aca="false">IF(ISTEXT(H36),"",(B36*$B$7/100)+(C36*$C$7/100))</f>
        <v>0.006</v>
      </c>
      <c r="R36" s="216" t="n">
        <f aca="false">IF(OR(ISTEXT(H36),Q36=0),"",IF(Q36&lt;0.1,1,IF(Q36&lt;1,2,IF(Q36&lt;10,3,IF(Q36&lt;50,4,IF(Q36&gt;=50,5,""))))))</f>
        <v>1</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FONHYP</v>
      </c>
      <c r="Z36" s="10" t="n">
        <f aca="false">IF(ISERROR(MATCH(A36,'[1]liste reference'!$A$7:$A$892,0)),IF(ISERROR(MATCH(A36,'[1]liste reference'!$B$7:$B$892,0)),"",(MATCH(A36,'[1]liste reference'!$B$7:$B$892,0))),(MATCH(A36,'[1]liste reference'!$A$7:$A$892,0)))</f>
        <v>306</v>
      </c>
      <c r="AA36" s="220"/>
      <c r="AB36" s="221"/>
      <c r="AC36" s="221"/>
      <c r="BC36" s="10" t="n">
        <f aca="false">IF(A36="","",1)</f>
        <v>1</v>
      </c>
    </row>
    <row r="37" customFormat="false" ht="12.75" hidden="false" customHeight="false" outlineLevel="0" collapsed="false">
      <c r="A37" s="222" t="s">
        <v>91</v>
      </c>
      <c r="B37" s="223" t="n">
        <v>0</v>
      </c>
      <c r="C37" s="224" t="n">
        <v>0.1</v>
      </c>
      <c r="D37" s="225" t="str">
        <f aca="false">IF(ISERROR(VLOOKUP($A37,'[1]liste reference'!$A$7:$D$892,2,0)),IF(ISERROR(VLOOKUP($A37,'[1]liste reference'!$B$7:$D$892,1,0)),"",VLOOKUP($A37,'[1]liste reference'!$B$7:$D$892,1,0)),VLOOKUP($A37,'[1]liste reference'!$A$7:$D$892,2,0))</f>
        <v>Ranunculus penicillatus subsp. pseudofluitans</v>
      </c>
      <c r="E37" s="225" t="e">
        <f aca="false">IF(D37="",0,VLOOKUP(D37,D$22:D36,1,0))</f>
        <v>#N/A</v>
      </c>
      <c r="F37" s="232" t="n">
        <f aca="false">($B37*$B$7+$C37*$C$7)/100</f>
        <v>0.06</v>
      </c>
      <c r="G37" s="227" t="str">
        <f aca="false">IF(A37="","",IF(ISERROR(VLOOKUP($A37,'[1]liste reference'!$A$7:$P$892,13,0)),IF(ISERROR(VLOOKUP($A37,'[1]liste reference'!$B$7:$P$892,12,0)),"    -",VLOOKUP($A37,'[1]liste reference'!$B$7:$P$892,12,0)),VLOOKUP($A37,'[1]liste reference'!$A$7:$P$892,13,0)))</f>
        <v>PHy</v>
      </c>
      <c r="H37" s="209" t="n">
        <f aca="false">IF(A37="","x",IF(ISERROR(VLOOKUP($A37,'[1]liste reference'!$A$7:$P$892,14,0)),IF(ISERROR(VLOOKUP($A37,'[1]liste reference'!$B$7:$P$892,13,0)),"x",VLOOKUP($A37,'[1]liste reference'!$B$7:$P$892,13,0)),VLOOKUP($A37,'[1]liste reference'!$A$7:$P$892,14,0)))</f>
        <v>7</v>
      </c>
      <c r="I37" s="228" t="n">
        <f aca="false">IF(ISNUMBER(H37),IF(ISERROR(VLOOKUP($A37,'[1]liste reference'!$A$7:$P$892,3,0)),IF(ISERROR(VLOOKUP($A37,'[1]liste reference'!$B$7:$P$892,2,0)),"",VLOOKUP($A37,'[1]liste reference'!$B$7:$P$892,2,0)),VLOOKUP($A37,'[1]liste reference'!$A$7:$P$892,3,0)),"")</f>
        <v>12</v>
      </c>
      <c r="J37" s="211" t="n">
        <f aca="false">IF(ISNUMBER(H37),IF(ISERROR(VLOOKUP($A37,'[1]liste reference'!$A$7:$P$892,4,0)),IF(ISERROR(VLOOKUP($A37,'[1]liste reference'!$B$7:$P$892,3,0)),"",VLOOKUP($A37,'[1]liste reference'!$B$7:$P$892,3,0)),VLOOKUP($A37,'[1]liste reference'!$A$7:$P$892,4,0)),"")</f>
        <v>2</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Ranunculus penicillatus subsp. pseudofluitans</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19974</v>
      </c>
      <c r="Q37" s="215" t="n">
        <f aca="false">IF(ISTEXT(H37),"",(B37*$B$7/100)+(C37*$C$7/100))</f>
        <v>0.06</v>
      </c>
      <c r="R37" s="216" t="n">
        <f aca="false">IF(OR(ISTEXT(H37),Q37=0),"",IF(Q37&lt;0.1,1,IF(Q37&lt;1,2,IF(Q37&lt;10,3,IF(Q37&lt;50,4,IF(Q37&gt;=50,5,""))))))</f>
        <v>1</v>
      </c>
      <c r="S37" s="216" t="n">
        <f aca="false">IF(ISERROR(R37*I37),0,R37*I37)</f>
        <v>12</v>
      </c>
      <c r="T37" s="216" t="n">
        <f aca="false">IF(ISERROR(R37*I37*J37),0,R37*I37*J37)</f>
        <v>24</v>
      </c>
      <c r="U37" s="230" t="n">
        <f aca="false">IF(ISERROR(R37*J37),0,R37*J37)</f>
        <v>2</v>
      </c>
      <c r="V37" s="217" t="n">
        <v>2</v>
      </c>
      <c r="W37" s="218"/>
      <c r="Y37" s="219" t="str">
        <f aca="false">IF(A37="new.cod","NEWCOD",IF(AND((Z37=""),ISTEXT(A37)),A37,IF(Z37="","",INDEX('[1]liste reference'!$A$7:$A$892,Z37))))</f>
        <v>RANPSE</v>
      </c>
      <c r="Z37" s="10" t="n">
        <f aca="false">IF(ISERROR(MATCH(A37,'[1]liste reference'!$A$7:$A$892,0)),IF(ISERROR(MATCH(A37,'[1]liste reference'!$B$7:$B$892,0)),"",(MATCH(A37,'[1]liste reference'!$B$7:$B$892,0))),(MATCH(A37,'[1]liste reference'!$A$7:$A$892,0)))</f>
        <v>689</v>
      </c>
      <c r="AA37" s="220"/>
      <c r="AB37" s="221"/>
      <c r="AC37" s="221"/>
      <c r="BC37" s="10" t="n">
        <f aca="false">IF(A37="","",1)</f>
        <v>1</v>
      </c>
    </row>
    <row r="38" customFormat="false" ht="12.75" hidden="false" customHeight="false" outlineLevel="0" collapsed="false">
      <c r="A38" s="222" t="s">
        <v>92</v>
      </c>
      <c r="B38" s="223" t="n">
        <v>0</v>
      </c>
      <c r="C38" s="224" t="n">
        <v>0.01</v>
      </c>
      <c r="D38" s="225" t="str">
        <f aca="false">IF(ISERROR(VLOOKUP($A38,'[1]liste reference'!$A$7:$D$892,2,0)),IF(ISERROR(VLOOKUP($A38,'[1]liste reference'!$B$7:$D$892,1,0)),"",VLOOKUP($A38,'[1]liste reference'!$B$7:$D$892,1,0)),VLOOKUP($A38,'[1]liste reference'!$A$7:$D$892,2,0))</f>
        <v>Reynoutria japonica</v>
      </c>
      <c r="E38" s="225" t="e">
        <f aca="false">IF(D38="",0,VLOOKUP(D38,D$22:D37,1,0))</f>
        <v>#N/A</v>
      </c>
      <c r="F38" s="232" t="n">
        <f aca="false">($B38*$B$7+$C38*$C$7)/100</f>
        <v>0.006</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Reynoutria japonica</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19988</v>
      </c>
      <c r="Q38" s="215" t="n">
        <f aca="false">IF(ISTEXT(H38),"",(B38*$B$7/100)+(C38*$C$7/100))</f>
        <v>0.006</v>
      </c>
      <c r="R38" s="216" t="n">
        <f aca="false">IF(OR(ISTEXT(H38),Q38=0),"",IF(Q38&lt;0.1,1,IF(Q38&lt;1,2,IF(Q38&lt;10,3,IF(Q38&lt;50,4,IF(Q38&gt;=50,5,""))))))</f>
        <v>1</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REYJAP</v>
      </c>
      <c r="Z38" s="10" t="n">
        <f aca="false">IF(ISERROR(MATCH(A38,'[1]liste reference'!$A$7:$A$892,0)),IF(ISERROR(MATCH(A38,'[1]liste reference'!$B$7:$B$892,0)),"",(MATCH(A38,'[1]liste reference'!$B$7:$B$892,0))),(MATCH(A38,'[1]liste reference'!$A$7:$A$892,0)))</f>
        <v>701</v>
      </c>
      <c r="AA38" s="220"/>
      <c r="AB38" s="221"/>
      <c r="AC38" s="221"/>
      <c r="BC38" s="10" t="n">
        <f aca="false">IF(A38="","",1)</f>
        <v>1</v>
      </c>
    </row>
    <row r="39" customFormat="false" ht="12.75" hidden="false" customHeight="false" outlineLevel="0" collapsed="false">
      <c r="A39" s="222" t="s">
        <v>93</v>
      </c>
      <c r="B39" s="223" t="n">
        <v>0</v>
      </c>
      <c r="C39" s="224" t="n">
        <v>0.01</v>
      </c>
      <c r="D39" s="225" t="str">
        <f aca="false">IF(ISERROR(VLOOKUP($A39,'[1]liste reference'!$A$7:$D$892,2,0)),IF(ISERROR(VLOOKUP($A39,'[1]liste reference'!$B$7:$D$892,1,0)),"",VLOOKUP($A39,'[1]liste reference'!$B$7:$D$892,1,0)),VLOOKUP($A39,'[1]liste reference'!$A$7:$D$892,2,0))</f>
        <v>Veronica anagallis-aquatica</v>
      </c>
      <c r="E39" s="225" t="e">
        <f aca="false">IF(D39="",0,VLOOKUP(D39,D$22:D38,1,0))</f>
        <v>#N/A</v>
      </c>
      <c r="F39" s="232" t="n">
        <f aca="false">($B39*$B$7+$C39*$C$7)/100</f>
        <v>0.006</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n">
        <f aca="false">IF(ISNUMBER(H39),IF(ISERROR(VLOOKUP($A39,'[1]liste reference'!$A$7:$P$892,3,0)),IF(ISERROR(VLOOKUP($A39,'[1]liste reference'!$B$7:$P$892,2,0)),"",VLOOKUP($A39,'[1]liste reference'!$B$7:$P$892,2,0)),VLOOKUP($A39,'[1]liste reference'!$A$7:$P$892,3,0)),"")</f>
        <v>11</v>
      </c>
      <c r="J39" s="211" t="n">
        <f aca="false">IF(ISNUMBER(H39),IF(ISERROR(VLOOKUP($A39,'[1]liste reference'!$A$7:$P$892,4,0)),IF(ISERROR(VLOOKUP($A39,'[1]liste reference'!$B$7:$P$892,3,0)),"",VLOOKUP($A39,'[1]liste reference'!$B$7:$P$892,3,0)),VLOOKUP($A39,'[1]liste reference'!$A$7:$P$892,4,0)),"")</f>
        <v>2</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Veronica anagallis-aquatica</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1955</v>
      </c>
      <c r="Q39" s="215" t="n">
        <f aca="false">IF(ISTEXT(H39),"",(B39*$B$7/100)+(C39*$C$7/100))</f>
        <v>0.006</v>
      </c>
      <c r="R39" s="216" t="n">
        <f aca="false">IF(OR(ISTEXT(H39),Q39=0),"",IF(Q39&lt;0.1,1,IF(Q39&lt;1,2,IF(Q39&lt;10,3,IF(Q39&lt;50,4,IF(Q39&gt;=50,5,""))))))</f>
        <v>1</v>
      </c>
      <c r="S39" s="216" t="n">
        <f aca="false">IF(ISERROR(R39*I39),0,R39*I39)</f>
        <v>11</v>
      </c>
      <c r="T39" s="216" t="n">
        <f aca="false">IF(ISERROR(R39*I39*J39),0,R39*I39*J39)</f>
        <v>22</v>
      </c>
      <c r="U39" s="230" t="n">
        <f aca="false">IF(ISERROR(R39*J39),0,R39*J39)</f>
        <v>2</v>
      </c>
      <c r="V39" s="217" t="n">
        <v>2</v>
      </c>
      <c r="W39" s="218"/>
      <c r="Y39" s="219" t="str">
        <f aca="false">IF(A39="new.cod","NEWCOD",IF(AND((Z39=""),ISTEXT(A39)),A39,IF(Z39="","",INDEX('[1]liste reference'!$A$7:$A$892,Z39))))</f>
        <v>VERANA</v>
      </c>
      <c r="Z39" s="10" t="n">
        <f aca="false">IF(ISERROR(MATCH(A39,'[1]liste reference'!$A$7:$A$892,0)),IF(ISERROR(MATCH(A39,'[1]liste reference'!$B$7:$B$892,0)),"",(MATCH(A39,'[1]liste reference'!$B$7:$B$892,0))),(MATCH(A39,'[1]liste reference'!$A$7:$A$892,0)))</f>
        <v>865</v>
      </c>
      <c r="AA39" s="220"/>
      <c r="AB39" s="221"/>
      <c r="AC39" s="221"/>
      <c r="BC39" s="10" t="n">
        <f aca="false">IF(A39="","",1)</f>
        <v>1</v>
      </c>
    </row>
    <row r="40" customFormat="false" ht="12.75" hidden="false" customHeight="false" outlineLevel="0" collapsed="false">
      <c r="A40" s="222" t="s">
        <v>94</v>
      </c>
      <c r="B40" s="223" t="n">
        <v>0</v>
      </c>
      <c r="C40" s="224" t="n">
        <v>0.03</v>
      </c>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0.018</v>
      </c>
      <c r="G40" s="227" t="str">
        <f aca="false">IF(A40="","",IF(ISERROR(VLOOKUP($A40,'[1]liste reference'!$A$7:$P$892,13,0)),IF(ISERROR(VLOOKUP($A40,'[1]liste reference'!$B$7:$P$892,12,0)),"    -",VLOOKUP($A40,'[1]liste reference'!$B$7:$P$892,12,0)),VLOOKUP($A40,'[1]liste reference'!$A$7:$P$892,13,0)))</f>
        <v>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Gomphoneis sp.</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No</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newcod</v>
      </c>
      <c r="Z40" s="10" t="str">
        <f aca="false">IF(ISERROR(MATCH(A40,'[1]liste reference'!$A$7:$A$892,0)),IF(ISERROR(MATCH(A40,'[1]liste reference'!$B$7:$B$892,0)),"",(MATCH(A40,'[1]liste reference'!$B$7:$B$892,0))),(MATCH(A40,'[1]liste reference'!$A$7:$A$892,0)))</f>
        <v/>
      </c>
      <c r="AA40" s="220"/>
      <c r="AB40" s="221" t="s">
        <v>95</v>
      </c>
      <c r="AC40" s="221"/>
      <c r="BC40" s="10" t="n">
        <f aca="false">IF(A40="","",1)</f>
        <v>1</v>
      </c>
    </row>
    <row r="41" customFormat="false" ht="12.75" hidden="false" customHeight="false" outlineLevel="0" collapsed="false">
      <c r="A41" s="222" t="s">
        <v>94</v>
      </c>
      <c r="B41" s="223" t="n">
        <v>0</v>
      </c>
      <c r="C41" s="224" t="n">
        <v>0.01</v>
      </c>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0.006</v>
      </c>
      <c r="G41" s="227" t="str">
        <f aca="false">IF(A41="","",IF(ISERROR(VLOOKUP($A41,'[1]liste reference'!$A$7:$P$892,13,0)),IF(ISERROR(VLOOKUP($A41,'[1]liste reference'!$B$7:$P$892,12,0)),"    -",VLOOKUP($A41,'[1]liste reference'!$B$7:$P$892,12,0)),VLOOKUP($A41,'[1]liste reference'!$A$7:$P$892,13,0)))</f>
        <v>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Salix purpurea</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No</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newcod</v>
      </c>
      <c r="Z41" s="10" t="str">
        <f aca="false">IF(ISERROR(MATCH(A41,'[1]liste reference'!$A$7:$A$892,0)),IF(ISERROR(MATCH(A41,'[1]liste reference'!$B$7:$B$892,0)),"",(MATCH(A41,'[1]liste reference'!$B$7:$B$892,0))),(MATCH(A41,'[1]liste reference'!$A$7:$A$892,0)))</f>
        <v/>
      </c>
      <c r="AA41" s="220"/>
      <c r="AB41" s="221" t="s">
        <v>96</v>
      </c>
      <c r="AC41" s="221"/>
      <c r="BC41" s="10" t="n">
        <f aca="false">IF(A41="","",1)</f>
        <v>1</v>
      </c>
    </row>
    <row r="42" customFormat="false" ht="12.75" hidden="false" customHeight="false" outlineLevel="0" collapsed="false">
      <c r="A42" s="222" t="s">
        <v>97</v>
      </c>
      <c r="B42" s="223"/>
      <c r="C42" s="224" t="n">
        <v>0.01</v>
      </c>
      <c r="D42" s="225" t="str">
        <f aca="false">IF(ISERROR(VLOOKUP($A42,'[1]liste reference'!$A$7:$D$892,2,0)),IF(ISERROR(VLOOKUP($A42,'[1]liste reference'!$B$7:$D$892,1,0)),"",VLOOKUP($A42,'[1]liste reference'!$B$7:$D$892,1,0)),VLOOKUP($A42,'[1]liste reference'!$A$7:$D$892,2,0))</f>
        <v>Stigeoclonium tenue</v>
      </c>
      <c r="E42" s="225" t="e">
        <f aca="false">IF(D42="",0,VLOOKUP(D42,D$22:D41,1,0))</f>
        <v>#N/A</v>
      </c>
      <c r="F42" s="232" t="n">
        <f aca="false">($B42*$B$7+$C42*$C$7)/100</f>
        <v>0.006</v>
      </c>
      <c r="G42" s="227" t="str">
        <f aca="false">IF(A42="","",IF(ISERROR(VLOOKUP($A42,'[1]liste reference'!$A$7:$P$892,13,0)),IF(ISERROR(VLOOKUP($A42,'[1]liste reference'!$B$7:$P$892,12,0)),"    -",VLOOKUP($A42,'[1]liste reference'!$B$7:$P$892,12,0)),VLOOKUP($A42,'[1]liste reference'!$A$7:$P$892,13,0)))</f>
        <v>ALG</v>
      </c>
      <c r="H42" s="209" t="n">
        <f aca="false">IF(A42="","x",IF(ISERROR(VLOOKUP($A42,'[1]liste reference'!$A$7:$P$892,14,0)),IF(ISERROR(VLOOKUP($A42,'[1]liste reference'!$B$7:$P$892,13,0)),"x",VLOOKUP($A42,'[1]liste reference'!$B$7:$P$892,13,0)),VLOOKUP($A42,'[1]liste reference'!$A$7:$P$892,14,0)))</f>
        <v>2</v>
      </c>
      <c r="I42" s="228" t="n">
        <f aca="false">IF(ISNUMBER(H42),IF(ISERROR(VLOOKUP($A42,'[1]liste reference'!$A$7:$P$892,3,0)),IF(ISERROR(VLOOKUP($A42,'[1]liste reference'!$B$7:$P$892,2,0)),"",VLOOKUP($A42,'[1]liste reference'!$B$7:$P$892,2,0)),VLOOKUP($A42,'[1]liste reference'!$A$7:$P$892,3,0)),"")</f>
        <v>1</v>
      </c>
      <c r="J42" s="211" t="n">
        <f aca="false">IF(ISNUMBER(H42),IF(ISERROR(VLOOKUP($A42,'[1]liste reference'!$A$7:$P$892,4,0)),IF(ISERROR(VLOOKUP($A42,'[1]liste reference'!$B$7:$P$892,3,0)),"",VLOOKUP($A42,'[1]liste reference'!$B$7:$P$892,3,0)),VLOOKUP($A42,'[1]liste reference'!$A$7:$P$892,4,0)),"")</f>
        <v>3</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Stigeoclonium tenue</v>
      </c>
      <c r="L42" s="229"/>
      <c r="M42" s="229"/>
      <c r="N42" s="229"/>
      <c r="O42" s="214" t="str">
        <f aca="false">IF(AA42="Cf.","Cf.","")</f>
        <v/>
      </c>
      <c r="P42" s="214" t="n">
        <f aca="false">IF($A42="NEWCOD",IF($AC42="","No",$AC42),IF(ISTEXT($E42),"DEJA SAISI !",IF($A42="","",IF(ISERROR(VLOOKUP($A42,'[1]liste reference'!A$1:S$1048576,19,FALSE())),IF(ISERROR(VLOOKUP($A42,'[1]liste reference'!B$1:S$1048576,19,FALSE())),"",VLOOKUP($A42,'[1]liste reference'!B$1:S$1048576,19,FALSE())),VLOOKUP($A42,'[1]liste reference'!A$1:S$1048576,19,FALSE())))))</f>
        <v>5583</v>
      </c>
      <c r="Q42" s="215" t="n">
        <f aca="false">IF(ISTEXT(H42),"",(B42*$B$7/100)+(C42*$C$7/100))</f>
        <v>0.006</v>
      </c>
      <c r="R42" s="216" t="n">
        <f aca="false">IF(OR(ISTEXT(H42),Q42=0),"",IF(Q42&lt;0.1,1,IF(Q42&lt;1,2,IF(Q42&lt;10,3,IF(Q42&lt;50,4,IF(Q42&gt;=50,5,""))))))</f>
        <v>1</v>
      </c>
      <c r="S42" s="216" t="n">
        <f aca="false">IF(ISERROR(R42*I42),0,R42*I42)</f>
        <v>1</v>
      </c>
      <c r="T42" s="216" t="n">
        <f aca="false">IF(ISERROR(R42*I42*J42),0,R42*I42*J42)</f>
        <v>3</v>
      </c>
      <c r="U42" s="230" t="n">
        <f aca="false">IF(ISERROR(R42*J42),0,R42*J42)</f>
        <v>3</v>
      </c>
      <c r="V42" s="217" t="n">
        <v>3</v>
      </c>
      <c r="W42" s="218"/>
      <c r="Y42" s="219" t="str">
        <f aca="false">IF(A42="new.cod","NEWCOD",IF(AND((Z42=""),ISTEXT(A42)),A42,IF(Z42="","",INDEX('[1]liste reference'!$A$7:$A$892,Z42))))</f>
        <v>STITEN</v>
      </c>
      <c r="Z42" s="10" t="n">
        <f aca="false">IF(ISERROR(MATCH(A42,'[1]liste reference'!$A$7:$A$892,0)),IF(ISERROR(MATCH(A42,'[1]liste reference'!$B$7:$B$892,0)),"",(MATCH(A42,'[1]liste reference'!$B$7:$B$892,0))),(MATCH(A42,'[1]liste reference'!$A$7:$A$892,0)))</f>
        <v>824</v>
      </c>
      <c r="AA42" s="220"/>
      <c r="AB42" s="221"/>
      <c r="AC42" s="221"/>
      <c r="BC42" s="10" t="n">
        <f aca="false">IF(A42="","",1)</f>
        <v>1</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Chassezac</v>
      </c>
      <c r="B84" s="253" t="str">
        <f aca="false">C3</f>
        <v>Chassezac à Berrias et Casteljau</v>
      </c>
      <c r="C84" s="254" t="n">
        <f aca="false">A4</f>
        <v>41079</v>
      </c>
      <c r="D84" s="255" t="n">
        <f aca="false">IF(ISERROR(SUM($T$23:$T$82)/SUM($U$23:$U$82)),"",SUM($T$23:$T$82)/SUM($U$23:$U$82))</f>
        <v>9.91891891891892</v>
      </c>
      <c r="E84" s="256" t="n">
        <f aca="false">N13</f>
        <v>20</v>
      </c>
      <c r="F84" s="253" t="n">
        <f aca="false">N14</f>
        <v>15</v>
      </c>
      <c r="G84" s="253" t="n">
        <f aca="false">N15</f>
        <v>5</v>
      </c>
      <c r="H84" s="253" t="n">
        <f aca="false">N16</f>
        <v>9</v>
      </c>
      <c r="I84" s="253" t="n">
        <f aca="false">N17</f>
        <v>1</v>
      </c>
      <c r="J84" s="257" t="n">
        <f aca="false">N8</f>
        <v>9.8</v>
      </c>
      <c r="K84" s="255" t="n">
        <f aca="false">N9</f>
        <v>3.93155730686237</v>
      </c>
      <c r="L84" s="256" t="n">
        <f aca="false">N10</f>
        <v>1</v>
      </c>
      <c r="M84" s="256" t="n">
        <f aca="false">N11</f>
        <v>15</v>
      </c>
      <c r="N84" s="255" t="n">
        <f aca="false">O8</f>
        <v>1.73333333333333</v>
      </c>
      <c r="O84" s="255" t="n">
        <f aca="false">O9</f>
        <v>0.593616839704664</v>
      </c>
      <c r="P84" s="256" t="n">
        <f aca="false">O10</f>
        <v>1</v>
      </c>
      <c r="Q84" s="256" t="n">
        <f aca="false">O11</f>
        <v>3</v>
      </c>
      <c r="R84" s="256" t="n">
        <f aca="false">F21</f>
        <v>8.4104</v>
      </c>
      <c r="S84" s="256" t="n">
        <f aca="false">K11</f>
        <v>0</v>
      </c>
      <c r="T84" s="256" t="n">
        <f aca="false">K12</f>
        <v>13</v>
      </c>
      <c r="U84" s="256" t="n">
        <f aca="false">K13</f>
        <v>2</v>
      </c>
      <c r="V84" s="258" t="n">
        <f aca="false">K14</f>
        <v>0</v>
      </c>
      <c r="W84" s="259" t="n">
        <f aca="false">K15</f>
        <v>3</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99</v>
      </c>
      <c r="R86" s="10"/>
      <c r="S86" s="217"/>
      <c r="T86" s="10"/>
      <c r="U86" s="10"/>
      <c r="V86" s="10"/>
    </row>
    <row r="87" customFormat="false" ht="12.75" hidden="true" customHeight="false" outlineLevel="0" collapsed="false">
      <c r="P87" s="10"/>
      <c r="Q87" s="10" t="s">
        <v>100</v>
      </c>
      <c r="R87" s="10"/>
      <c r="S87" s="217" t="n">
        <f aca="false">VLOOKUP(MAX($S$23:$S$82),($S$23:$U$82),1,0)</f>
        <v>39</v>
      </c>
      <c r="T87" s="10"/>
      <c r="U87" s="10"/>
      <c r="V87" s="10"/>
    </row>
    <row r="88" customFormat="false" ht="12.75" hidden="true" customHeight="false" outlineLevel="0" collapsed="false">
      <c r="P88" s="10"/>
      <c r="Q88" s="10" t="s">
        <v>101</v>
      </c>
      <c r="R88" s="10"/>
      <c r="S88" s="217" t="n">
        <f aca="false">VLOOKUP((S87),($S$23:$U$82),2,0)</f>
        <v>78</v>
      </c>
      <c r="T88" s="10"/>
      <c r="U88" s="10"/>
      <c r="V88" s="10"/>
    </row>
    <row r="89" customFormat="false" ht="12.75" hidden="false" customHeight="false" outlineLevel="0" collapsed="false">
      <c r="Q89" s="10" t="s">
        <v>102</v>
      </c>
      <c r="R89" s="10"/>
      <c r="S89" s="217" t="n">
        <f aca="false">VLOOKUP((S87),($S$23:$U$82),3,0)</f>
        <v>6</v>
      </c>
      <c r="T89" s="10"/>
    </row>
    <row r="90" customFormat="false" ht="12.75" hidden="false" customHeight="false" outlineLevel="0" collapsed="false">
      <c r="Q90" s="10" t="s">
        <v>103</v>
      </c>
      <c r="R90" s="10"/>
      <c r="S90" s="262" t="n">
        <f aca="false">IF(ISERROR(SUM($T$23:$T$82)/SUM($U$23:$U$82)),"",(SUM($T$23:$T$82)-S88)/(SUM($U$23:$U$82)-S89))</f>
        <v>9.32258064516129</v>
      </c>
      <c r="T90" s="10"/>
    </row>
    <row r="91" customFormat="false" ht="12.75" hidden="false" customHeight="false" outlineLevel="0" collapsed="false">
      <c r="Q91" s="216" t="s">
        <v>104</v>
      </c>
      <c r="R91" s="216"/>
      <c r="S91" s="216" t="str">
        <f aca="false">INDEX('[1]liste reference'!$A$7:$A$892,$T$91)</f>
        <v>STISPX</v>
      </c>
      <c r="T91" s="10" t="n">
        <f aca="false">IF(ISERROR(MATCH($S$93,'[1]liste reference'!$A$7:$A$892,0)),MATCH($S$93,'[1]liste reference'!$B$7:$B$892,0),(MATCH($S$93,'[1]liste reference'!$A$7:$A$892,0)))</f>
        <v>823</v>
      </c>
      <c r="U91" s="251"/>
    </row>
    <row r="92" customFormat="false" ht="12.75" hidden="false" customHeight="false" outlineLevel="0" collapsed="false">
      <c r="Q92" s="10" t="s">
        <v>105</v>
      </c>
      <c r="R92" s="10"/>
      <c r="S92" s="10" t="n">
        <f aca="false">MATCH(S87,$S$23:$S$82,0)</f>
        <v>9</v>
      </c>
      <c r="T92" s="10"/>
    </row>
    <row r="93" customFormat="false" ht="12.75" hidden="false" customHeight="false" outlineLevel="0" collapsed="false">
      <c r="Q93" s="216" t="s">
        <v>106</v>
      </c>
      <c r="R93" s="10"/>
      <c r="S93" s="216" t="str">
        <f aca="false">INDEX($A$23:$A$82,$S$92)</f>
        <v>STISPX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7">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2013-03-15T14:09:46Z</dcterms:created>
  <dc:creator>li</dc:creator>
  <dc:description/>
  <dc:language>fr-FR</dc:language>
  <cp:lastModifiedBy>li</cp:lastModifiedBy>
  <dcterms:modified xsi:type="dcterms:W3CDTF">2013-03-15T14:09:52Z</dcterms:modified>
  <cp:revision>0</cp:revision>
  <dc:subject/>
  <dc:title/>
</cp:coreProperties>
</file>