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<sst xmlns="http://schemas.openxmlformats.org/spreadsheetml/2006/main" count="105" uniqueCount="100">
  <si>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</si>
  <si>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</si>
  <si>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</si>
  <si>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PVAUDAUX CBERNARD</t>
  </si>
  <si>
    <t xml:space="preserve">conforme AFNOR T90-395 oct. 2003</t>
  </si>
  <si>
    <t xml:space="preserve">CHASSEZAC</t>
  </si>
  <si>
    <t xml:space="preserve">CHASSEZAC A BERRIAS ET CASTELJAU</t>
  </si>
  <si>
    <t xml:space="preserve">06580724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</si>
  <si>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</si>
  <si>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</si>
  <si>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</si>
  <si>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</si>
  <si>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</si>
  <si>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</si>
  <si>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</si>
  <si>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</si>
  <si>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SPISPX</t>
  </si>
  <si>
    <t xml:space="preserve">Faciès dominant</t>
  </si>
  <si>
    <t xml:space="preserve">radier</t>
  </si>
  <si>
    <t xml:space="preserve">plat lentiqur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</si>
  <si>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</si>
  <si>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</si>
  <si>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</si>
  <si>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</si>
  <si>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</si>
  <si>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</si>
  <si>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</si>
  <si>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</si>
  <si>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</si>
  <si>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</si>
  <si>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</si>
  <si>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</si>
  <si>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</si>
  <si>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</si>
  <si>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</si>
  <si>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</si>
  <si>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</si>
  <si>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</si>
  <si>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</si>
  <si>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</si>
  <si>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</si>
  <si>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</si>
  <si>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</si>
  <si>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</si>
  <si>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</si>
  <si>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</si>
  <si>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</si>
  <si>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</si>
  <si>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</si>
  <si>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</si>
  <si>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</si>
  <si>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</si>
  <si>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</si>
  <si>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</si>
  <si>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</si>
  <si>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</si>
  <si>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</si>
  <si>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</si>
  <si>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</si>
  <si>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</si>
  <si>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</si>
  <si>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</si>
  <si>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</si>
  <si>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</si>
  <si>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</si>
  <si>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</si>
  <si>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</si>
  <si>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</si>
  <si>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</si>
  <si>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</si>
  <si>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</si>
  <si>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</si>
  <si>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</si>
  <si>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</si>
  <si>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</si>
  <si>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</si>
  <si>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</si>
  <si>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</si>
  <si>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</si>
  <si>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</si>
  <si>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LEASPX</t>
  </si>
  <si>
    <t xml:space="preserve">OEDSPX</t>
  </si>
  <si>
    <t xml:space="preserve">PHOSPX</t>
  </si>
  <si>
    <t xml:space="preserve">STITEN</t>
  </si>
  <si>
    <t xml:space="preserve">ULOSPX</t>
  </si>
  <si>
    <t xml:space="preserve">VAUSPX</t>
  </si>
  <si>
    <t xml:space="preserve">FONHYP</t>
  </si>
  <si>
    <t xml:space="preserve">RANFLU</t>
  </si>
  <si>
    <t xml:space="preserve">RANPES</t>
  </si>
  <si>
    <t xml:space="preserve">newcod</t>
  </si>
  <si>
    <t xml:space="preserve">Heteroleibleina sp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</si>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</sst>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CHABE_11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domntade.eaurmc.fr/aermc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7.76470588235294</v>
      </c>
      <c r="M5" s="53"/>
      <c r="N5" s="54" t="s">
        <v>16</v>
      </c>
      <c r="O5" s="55" t="n">
        <v>7.54838709677419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75</v>
      </c>
      <c r="C7" s="67" t="n">
        <v>25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</v>
      </c>
      <c r="O8" s="84" t="n">
        <f aca="false">IF(ISERROR(AVERAGE(J23:J82)),"      -",AVERAGE(J23:J82))</f>
        <v>1.72727272727273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2.06</v>
      </c>
      <c r="C9" s="87" t="n">
        <v>44.05</v>
      </c>
      <c r="D9" s="88"/>
      <c r="E9" s="88"/>
      <c r="F9" s="89" t="n">
        <f aca="false">($B9*$B$7+$C9*$C$7)/100</f>
        <v>12.5575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4.04519917477945</v>
      </c>
      <c r="O9" s="84" t="n">
        <f aca="false">IF(ISERROR(STDEVP(J23:J82)),"      -",STDEVP(J23:J82))</f>
        <v>0.616575453011388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8" t="s">
        <v>32</v>
      </c>
      <c r="D10" s="99"/>
      <c r="E10" s="99"/>
      <c r="F10" s="89"/>
      <c r="G10" s="90"/>
      <c r="H10" s="100"/>
      <c r="I10" s="101"/>
      <c r="J10" s="102" t="s">
        <v>33</v>
      </c>
      <c r="K10" s="102"/>
      <c r="L10" s="103"/>
      <c r="M10" s="104" t="s">
        <v>34</v>
      </c>
      <c r="N10" s="105" t="n">
        <f aca="false">MIN(I23:I82)</f>
        <v>1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35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36</v>
      </c>
      <c r="J11" s="113"/>
      <c r="K11" s="114" t="n">
        <f aca="false">COUNTIF($G$23:$G$82,"=HET")</f>
        <v>0</v>
      </c>
      <c r="L11" s="115"/>
      <c r="M11" s="104" t="s">
        <v>37</v>
      </c>
      <c r="N11" s="105" t="n">
        <f aca="false">MAX(I23:I82)</f>
        <v>15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38</v>
      </c>
      <c r="B12" s="117" t="n">
        <v>2.06</v>
      </c>
      <c r="C12" s="118" t="n">
        <v>44.01</v>
      </c>
      <c r="D12" s="110"/>
      <c r="E12" s="110"/>
      <c r="F12" s="111" t="n">
        <f aca="false">($B12*$B$7+$C12*$C$7)/100</f>
        <v>12.5475</v>
      </c>
      <c r="G12" s="119"/>
      <c r="H12" s="68"/>
      <c r="I12" s="120" t="s">
        <v>39</v>
      </c>
      <c r="J12" s="120"/>
      <c r="K12" s="114" t="n">
        <f aca="false">COUNTIF($G$23:$G$82,"=ALG")</f>
        <v>9</v>
      </c>
      <c r="L12" s="121"/>
      <c r="M12" s="122"/>
      <c r="N12" s="123" t="s">
        <v>33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40</v>
      </c>
      <c r="B13" s="117"/>
      <c r="C13" s="118" t="n">
        <v>0.02</v>
      </c>
      <c r="D13" s="110"/>
      <c r="E13" s="110"/>
      <c r="F13" s="111" t="n">
        <f aca="false">($B13*$B$7+$C13*$C$7)/100</f>
        <v>0.005</v>
      </c>
      <c r="G13" s="119"/>
      <c r="H13" s="68"/>
      <c r="I13" s="120" t="s">
        <v>41</v>
      </c>
      <c r="J13" s="120"/>
      <c r="K13" s="114" t="n">
        <f aca="false">COUNTIF($G$23:$G$82,"=BRm")+COUNTIF($G$23:$G$82,"=BRh")</f>
        <v>1</v>
      </c>
      <c r="L13" s="115"/>
      <c r="M13" s="126" t="s">
        <v>42</v>
      </c>
      <c r="N13" s="127" t="n">
        <f aca="false">COUNTIF(F23:F82,"&gt;0")</f>
        <v>13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43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44</v>
      </c>
      <c r="J14" s="120"/>
      <c r="K14" s="114" t="n">
        <f aca="false">COUNTIF($G$23:$G$82,"=PTE")+COUNTIF($G$23:$G$82,"=LIC")</f>
        <v>0</v>
      </c>
      <c r="L14" s="115"/>
      <c r="M14" s="130" t="s">
        <v>45</v>
      </c>
      <c r="N14" s="131" t="n">
        <f aca="false">COUNTIF($I$23:$I$82,"&gt;-1")</f>
        <v>11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46</v>
      </c>
      <c r="B15" s="134"/>
      <c r="C15" s="135" t="n">
        <v>0.02</v>
      </c>
      <c r="D15" s="110"/>
      <c r="E15" s="110"/>
      <c r="F15" s="111" t="n">
        <f aca="false">($B15*$B$7+$C15*$C$7)/100</f>
        <v>0.005</v>
      </c>
      <c r="G15" s="119"/>
      <c r="H15" s="68"/>
      <c r="I15" s="120" t="s">
        <v>47</v>
      </c>
      <c r="J15" s="120"/>
      <c r="K15" s="114" t="n">
        <f aca="false">(COUNTIF($G$23:$G$82,"=PHy"))+(COUNTIF($G$23:$G$82,"=PHe"))+(COUNTIF($G$23:$G$82,"=PHg"))+(COUNTIF($G$23:$G$82,"=PHx"))</f>
        <v>2</v>
      </c>
      <c r="L15" s="115"/>
      <c r="M15" s="136" t="s">
        <v>48</v>
      </c>
      <c r="N15" s="137" t="n">
        <f aca="false">COUNTIF(J23:J82,"=1")</f>
        <v>4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49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50</v>
      </c>
      <c r="N16" s="137" t="n">
        <f aca="false">COUNTIF(J23:J82,"=2")</f>
        <v>6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51</v>
      </c>
      <c r="B17" s="117" t="n">
        <v>2.06</v>
      </c>
      <c r="C17" s="118" t="n">
        <v>44.05</v>
      </c>
      <c r="D17" s="110"/>
      <c r="E17" s="110"/>
      <c r="F17" s="142"/>
      <c r="G17" s="111" t="n">
        <f aca="false">($B17*$B$7+$C17*$C$7)/100</f>
        <v>12.5575</v>
      </c>
      <c r="H17" s="68"/>
      <c r="I17" s="120"/>
      <c r="J17" s="120"/>
      <c r="K17" s="141"/>
      <c r="L17" s="115"/>
      <c r="M17" s="136" t="s">
        <v>52</v>
      </c>
      <c r="N17" s="137" t="n">
        <f aca="false">COUNTIF(J23:J82,"=3")</f>
        <v>1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53</v>
      </c>
      <c r="B18" s="144"/>
      <c r="C18" s="145"/>
      <c r="D18" s="110"/>
      <c r="E18" s="146" t="s">
        <v>54</v>
      </c>
      <c r="F18" s="142"/>
      <c r="G18" s="111" t="n">
        <f aca="false">($B18*$B$7+$C18*$C$7)/100</f>
        <v>0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12.5575</v>
      </c>
      <c r="G19" s="155" t="n">
        <f aca="false">SUM(G16:G18)</f>
        <v>12.5575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2.06</v>
      </c>
      <c r="C20" s="165" t="n">
        <f aca="false">SUM(C23:C82)</f>
        <v>44.05</v>
      </c>
      <c r="D20" s="166"/>
      <c r="E20" s="167" t="s">
        <v>54</v>
      </c>
      <c r="F20" s="168" t="n">
        <f aca="false">($B20*$B$7+$C20*$C$7)/100</f>
        <v>12.5575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1.545</v>
      </c>
      <c r="C21" s="178" t="n">
        <f aca="false">C20*C7/100</f>
        <v>11.0125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12.5575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</v>
      </c>
      <c r="C23" s="205" t="n">
        <v>0.75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0.1875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0.1875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12</v>
      </c>
      <c r="T23" s="216" t="n">
        <f aca="false">IF(ISERROR(R23*I23*J23),0,R23*I23*J23)</f>
        <v>12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0.1</v>
      </c>
      <c r="C24" s="224" t="n">
        <v>1.15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Diatoma sp.</v>
      </c>
      <c r="E24" s="225" t="e">
        <f aca="false">IF(D24="",0,VLOOKUP(D24,D$22:D23,1,0))</f>
        <v>#N/A</v>
      </c>
      <c r="F24" s="226" t="n">
        <f aca="false">($B24*$B$7+$C24*$C$7)/100</f>
        <v>0.3625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12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Diatoma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6627</v>
      </c>
      <c r="Q24" s="215" t="n">
        <f aca="false">IF(ISTEXT(H24),"",(B24*$B$7/100)+(C24*$C$7/100))</f>
        <v>0.3625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24</v>
      </c>
      <c r="T24" s="216" t="n">
        <f aca="false">IF(ISERROR(R24*I24*J24),0,R24*I24*J24)</f>
        <v>48</v>
      </c>
      <c r="U24" s="228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DIASPX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0.01</v>
      </c>
      <c r="C25" s="224" t="n">
        <v>0.01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Lemanea sp.</v>
      </c>
      <c r="E25" s="225" t="e">
        <f aca="false">IF(D25="",0,VLOOKUP(D25,D$22:D24,1,0))</f>
        <v>#N/A</v>
      </c>
      <c r="F25" s="226" t="n">
        <f aca="false">($B25*$B$7+$C25*$C$7)/100</f>
        <v>0.01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15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Lemanea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1159</v>
      </c>
      <c r="Q25" s="215" t="n">
        <f aca="false">IF(ISTEXT(H25),"",(B25*$B$7/100)+(C25*$C$7/100))</f>
        <v>0.01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15</v>
      </c>
      <c r="T25" s="216" t="n">
        <f aca="false">IF(ISERROR(R25*I25*J25),0,R25*I25*J25)</f>
        <v>30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LEASPX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34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0.2</v>
      </c>
      <c r="C26" s="224" t="n">
        <v>8.85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Oedogonium sp.</v>
      </c>
      <c r="E26" s="225" t="e">
        <f aca="false">IF(D26="",0,VLOOKUP(D26,D$22:D25,1,0))</f>
        <v>#N/A</v>
      </c>
      <c r="F26" s="226" t="n">
        <f aca="false">($B26*$B$7+$C26*$C$7)/100</f>
        <v>2.3625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6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Oedogonium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1134</v>
      </c>
      <c r="Q26" s="215" t="n">
        <f aca="false">IF(ISTEXT(H26),"",(B26*$B$7/100)+(C26*$C$7/100))</f>
        <v>2.3625</v>
      </c>
      <c r="R26" s="216" t="n">
        <f aca="false">IF(OR(ISTEXT(H26),Q26=0),"",IF(Q26&lt;0.1,1,IF(Q26&lt;1,2,IF(Q26&lt;10,3,IF(Q26&lt;50,4,IF(Q26&gt;=50,5,""))))))</f>
        <v>3</v>
      </c>
      <c r="S26" s="216" t="n">
        <f aca="false">IF(ISERROR(R26*I26),0,R26*I26)</f>
        <v>18</v>
      </c>
      <c r="T26" s="216" t="n">
        <f aca="false">IF(ISERROR(R26*I26*J26),0,R26*I26*J26)</f>
        <v>36</v>
      </c>
      <c r="U26" s="228" t="n">
        <f aca="false">IF(ISERROR(R26*J26),0,R26*J26)</f>
        <v>6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OEDSPX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55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0.02</v>
      </c>
      <c r="C27" s="224" t="n">
        <v>0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Phormidium sp.</v>
      </c>
      <c r="E27" s="225" t="e">
        <f aca="false">IF(D27="",0,VLOOKUP(D27,D$22:D26,1,0))</f>
        <v>#N/A</v>
      </c>
      <c r="F27" s="226" t="n">
        <f aca="false">($B27*$B$7+$C27*$C$7)/100</f>
        <v>0.015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13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Phormidium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6414</v>
      </c>
      <c r="Q27" s="215" t="n">
        <f aca="false">IF(ISTEXT(H27),"",(B27*$B$7/100)+(C27*$C$7/100))</f>
        <v>0.015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13</v>
      </c>
      <c r="T27" s="216" t="n">
        <f aca="false">IF(ISERROR(R27*I27*J27),0,R27*I27*J27)</f>
        <v>26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PHOSPX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57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16</v>
      </c>
      <c r="B28" s="223" t="n">
        <v>0.83</v>
      </c>
      <c r="C28" s="224" t="n">
        <v>13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Spirogyra sp.</v>
      </c>
      <c r="E28" s="225" t="e">
        <f aca="false">IF(D28="",0,VLOOKUP(D28,D$22:D27,1,0))</f>
        <v>#N/A</v>
      </c>
      <c r="F28" s="226" t="n">
        <f aca="false">($B28*$B$7+$C28*$C$7)/100</f>
        <v>3.8725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Spirogyra sp.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1147</v>
      </c>
      <c r="Q28" s="215" t="n">
        <f aca="false">IF(ISTEXT(H28),"",(B28*$B$7/100)+(C28*$C$7/100))</f>
        <v>3.8725</v>
      </c>
      <c r="R28" s="216" t="n">
        <f aca="false">IF(OR(ISTEXT(H28),Q28=0),"",IF(Q28&lt;0.1,1,IF(Q28&lt;1,2,IF(Q28&lt;10,3,IF(Q28&lt;50,4,IF(Q28&gt;=50,5,""))))))</f>
        <v>3</v>
      </c>
      <c r="S28" s="216" t="n">
        <f aca="false">IF(ISERROR(R28*I28),0,R28*I28)</f>
        <v>30</v>
      </c>
      <c r="T28" s="216" t="n">
        <f aca="false">IF(ISERROR(R28*I28*J28),0,R28*I28*J28)</f>
        <v>30</v>
      </c>
      <c r="U28" s="228" t="n">
        <f aca="false">IF(ISERROR(R28*J28),0,R28*J28)</f>
        <v>3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SPISPX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69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</v>
      </c>
      <c r="C29" s="224" t="n">
        <v>1.5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Stigeoclonium tenue</v>
      </c>
      <c r="E29" s="225" t="e">
        <f aca="false">IF(D29="",0,VLOOKUP(D29,D$22:D28,1,0))</f>
        <v>#N/A</v>
      </c>
      <c r="F29" s="226" t="n">
        <f aca="false">($B29*$B$7+$C29*$C$7)/100</f>
        <v>0.375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ALG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2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3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Stigeoclonium tenue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5583</v>
      </c>
      <c r="Q29" s="215" t="n">
        <f aca="false">IF(ISTEXT(H29),"",(B29*$B$7/100)+(C29*$C$7/100))</f>
        <v>0.375</v>
      </c>
      <c r="R29" s="216" t="n">
        <f aca="false">IF(OR(ISTEXT(H29),Q29=0),"",IF(Q29&lt;0.1,1,IF(Q29&lt;1,2,IF(Q29&lt;10,3,IF(Q29&lt;50,4,IF(Q29&gt;=50,5,""))))))</f>
        <v>2</v>
      </c>
      <c r="S29" s="216" t="n">
        <f aca="false">IF(ISERROR(R29*I29),0,R29*I29)</f>
        <v>2</v>
      </c>
      <c r="T29" s="216" t="n">
        <f aca="false">IF(ISERROR(R29*I29*J29),0,R29*I29*J29)</f>
        <v>6</v>
      </c>
      <c r="U29" s="228" t="n">
        <f aca="false">IF(ISERROR(R29*J29),0,R29*J29)</f>
        <v>6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STITEN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72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</v>
      </c>
      <c r="C30" s="224" t="n">
        <v>0.75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Ulothrix sp.</v>
      </c>
      <c r="E30" s="225" t="e">
        <f aca="false">IF(D30="",0,VLOOKUP(D30,D$22:D29,1,0))</f>
        <v>#N/A</v>
      </c>
      <c r="F30" s="226" t="n">
        <f aca="false">($B30*$B$7+$C30*$C$7)/100</f>
        <v>0.1875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ALG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2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10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Ulothrix sp.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1142</v>
      </c>
      <c r="Q30" s="215" t="n">
        <f aca="false">IF(ISTEXT(H30),"",(B30*$B$7/100)+(C30*$C$7/100))</f>
        <v>0.1875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20</v>
      </c>
      <c r="T30" s="216" t="n">
        <f aca="false">IF(ISERROR(R30*I30*J30),0,R30*I30*J30)</f>
        <v>20</v>
      </c>
      <c r="U30" s="228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ULOSPX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81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</v>
      </c>
      <c r="C31" s="224" t="n">
        <v>18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Vaucheria sp.</v>
      </c>
      <c r="E31" s="225" t="e">
        <f aca="false">IF(D31="",0,VLOOKUP(D31,D$22:D30,1,0))</f>
        <v>#N/A</v>
      </c>
      <c r="F31" s="226" t="n">
        <f aca="false">($B31*$B$7+$C31*$C$7)/100</f>
        <v>4.5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ALG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2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4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Vaucheria sp.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6193</v>
      </c>
      <c r="Q31" s="215" t="n">
        <f aca="false">IF(ISTEXT(H31),"",(B31*$B$7/100)+(C31*$C$7/100))</f>
        <v>4.5</v>
      </c>
      <c r="R31" s="216" t="n">
        <f aca="false">IF(OR(ISTEXT(H31),Q31=0),"",IF(Q31&lt;0.1,1,IF(Q31&lt;1,2,IF(Q31&lt;10,3,IF(Q31&lt;50,4,IF(Q31&gt;=50,5,""))))))</f>
        <v>3</v>
      </c>
      <c r="S31" s="216" t="n">
        <f aca="false">IF(ISERROR(R31*I31),0,R31*I31)</f>
        <v>12</v>
      </c>
      <c r="T31" s="216" t="n">
        <f aca="false">IF(ISERROR(R31*I31*J31),0,R31*I31*J31)</f>
        <v>12</v>
      </c>
      <c r="U31" s="228" t="n">
        <f aca="false">IF(ISERROR(R31*J31),0,R31*J31)</f>
        <v>3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VAUSPX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82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0</v>
      </c>
      <c r="C32" s="224" t="n">
        <v>0.02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Fontinalis hypnoides</v>
      </c>
      <c r="E32" s="225" t="e">
        <f aca="false">IF(D32="",0,VLOOKUP(D32,D$22:D31,1,0))</f>
        <v>#N/A</v>
      </c>
      <c r="F32" s="226" t="n">
        <f aca="false">($B32*$B$7+$C32*$C$7)/100</f>
        <v>0.005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Fontinalis hypnoides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10238</v>
      </c>
      <c r="Q32" s="215" t="n">
        <f aca="false">IF(ISTEXT(H32),"",(B32*$B$7/100)+(C32*$C$7/100))</f>
        <v>0.005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FONHYP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211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23" t="n">
        <v>0</v>
      </c>
      <c r="C33" s="224" t="n">
        <v>0.01</v>
      </c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Ranunculus fluitans</v>
      </c>
      <c r="E33" s="225" t="e">
        <f aca="false">IF(D33="",0,VLOOKUP(D33,D$22:D32,1,0))</f>
        <v>#N/A</v>
      </c>
      <c r="F33" s="226" t="n">
        <f aca="false">($B33*$B$7+$C33*$C$7)/100</f>
        <v>0.0025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PHy</v>
      </c>
      <c r="H33" s="209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7</v>
      </c>
      <c r="I33" s="210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10</v>
      </c>
      <c r="J33" s="210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2</v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Ranunculus fluitans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1903</v>
      </c>
      <c r="Q33" s="215" t="n">
        <f aca="false">IF(ISTEXT(H33),"",(B33*$B$7/100)+(C33*$C$7/100))</f>
        <v>0.0025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10</v>
      </c>
      <c r="T33" s="216" t="n">
        <f aca="false">IF(ISERROR(R33*I33*J33),0,R33*I33*J33)</f>
        <v>20</v>
      </c>
      <c r="U33" s="228" t="n">
        <f aca="false">IF(ISERROR(R33*J33),0,R33*J33)</f>
        <v>2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>RANFLU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456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23" t="n">
        <v>0</v>
      </c>
      <c r="C34" s="224" t="n">
        <v>0.01</v>
      </c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Ranunculus penicillatus subsp. pseudofluitans</v>
      </c>
      <c r="E34" s="225" t="e">
        <f aca="false">IF(D34="",0,VLOOKUP(D34,D$22:D33,1,0))</f>
        <v>#N/A</v>
      </c>
      <c r="F34" s="230" t="n">
        <f aca="false">($B34*$B$7+$C34*$C$7)/100</f>
        <v>0.0025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PHy</v>
      </c>
      <c r="H34" s="209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7</v>
      </c>
      <c r="I34" s="210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12</v>
      </c>
      <c r="J34" s="210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2</v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Ranunculus penicillatus subsp. pseudofluitans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19974</v>
      </c>
      <c r="Q34" s="215" t="n">
        <f aca="false">IF(ISTEXT(H34),"",(B34*$B$7/100)+(C34*$C$7/100))</f>
        <v>0.0025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12</v>
      </c>
      <c r="T34" s="216" t="n">
        <f aca="false">IF(ISERROR(R34*I34*J34),0,R34*I34*J34)</f>
        <v>24</v>
      </c>
      <c r="U34" s="228" t="n">
        <f aca="false">IF(ISERROR(R34*J34),0,R34*J34)</f>
        <v>2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>RANPES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464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89</v>
      </c>
      <c r="B35" s="223" t="n">
        <v>0.9</v>
      </c>
      <c r="C35" s="224" t="n">
        <v>0</v>
      </c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0.675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    -</v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Heteroleibleina sp</v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No</v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>newcod</v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 t="s">
        <v>90</v>
      </c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91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CHASSEZAC</v>
      </c>
      <c r="B84" s="258" t="str">
        <f aca="false">C3</f>
        <v>CHASSEZAC A BERRIAS ET CASTELJAU</v>
      </c>
      <c r="C84" s="259" t="n">
        <f aca="false">A4</f>
        <v>41801</v>
      </c>
      <c r="D84" s="260" t="n">
        <f aca="false">IF(ISERROR(SUM($T$23:$T$82)/SUM($U$23:$U$82)),"",SUM($T$23:$T$82)/SUM($U$23:$U$82))</f>
        <v>7.76470588235294</v>
      </c>
      <c r="E84" s="261" t="n">
        <f aca="false">N13</f>
        <v>13</v>
      </c>
      <c r="F84" s="258" t="n">
        <f aca="false">N14</f>
        <v>11</v>
      </c>
      <c r="G84" s="258" t="n">
        <f aca="false">N15</f>
        <v>4</v>
      </c>
      <c r="H84" s="258" t="n">
        <f aca="false">N16</f>
        <v>6</v>
      </c>
      <c r="I84" s="258" t="n">
        <f aca="false">N17</f>
        <v>1</v>
      </c>
      <c r="J84" s="262" t="n">
        <f aca="false">N8</f>
        <v>9</v>
      </c>
      <c r="K84" s="260" t="n">
        <f aca="false">N9</f>
        <v>4.04519917477945</v>
      </c>
      <c r="L84" s="261" t="n">
        <f aca="false">N10</f>
        <v>1</v>
      </c>
      <c r="M84" s="261" t="n">
        <f aca="false">N11</f>
        <v>15</v>
      </c>
      <c r="N84" s="260" t="n">
        <f aca="false">O8</f>
        <v>1.72727272727273</v>
      </c>
      <c r="O84" s="260" t="n">
        <f aca="false">O9</f>
        <v>0.616575453011388</v>
      </c>
      <c r="P84" s="261" t="n">
        <f aca="false">O10</f>
        <v>1</v>
      </c>
      <c r="Q84" s="261" t="n">
        <f aca="false">O11</f>
        <v>3</v>
      </c>
      <c r="R84" s="261" t="n">
        <f aca="false">F21</f>
        <v>12.5575</v>
      </c>
      <c r="S84" s="261" t="n">
        <f aca="false">K11</f>
        <v>0</v>
      </c>
      <c r="T84" s="261" t="n">
        <f aca="false">K12</f>
        <v>9</v>
      </c>
      <c r="U84" s="261" t="n">
        <f aca="false">K13</f>
        <v>1</v>
      </c>
      <c r="V84" s="263" t="n">
        <f aca="false">K14</f>
        <v>0</v>
      </c>
      <c r="W84" s="264" t="n">
        <f aca="false">K15</f>
        <v>2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92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93</v>
      </c>
      <c r="R87" s="10"/>
      <c r="S87" s="217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94</v>
      </c>
      <c r="R88" s="10"/>
      <c r="S88" s="217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95</v>
      </c>
      <c r="R89" s="10"/>
      <c r="S89" s="217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96</v>
      </c>
      <c r="R90" s="10"/>
      <c r="S90" s="267" t="n">
        <f aca="false">IF(ISERROR(SUM($T$23:$T$82)/SUM($U$23:$U$82)),"",(SUM($T$23:$T$82)-S88)/(SUM($U$23:$U$82)-S89))</f>
        <v>7.54838709677419</v>
      </c>
      <c r="T90" s="10"/>
    </row>
    <row r="91" customFormat="false" ht="12.75" hidden="false" customHeight="false" outlineLevel="0" collapsed="false">
      <c r="Q91" s="216" t="s">
        <v>97</v>
      </c>
      <c r="R91" s="216"/>
      <c r="S91" s="216" t="str">
        <f aca="false">INDEX('[2]liste reference'!$A$8:$A$904,$T$91)</f>
        <v>SPISPX</v>
      </c>
      <c r="T91" s="10" t="n">
        <f aca="false">IF(ISERROR(MATCH($S$93,'[2]liste reference'!$A$8:$A$904,0)),MATCH($S$93,'[2]liste reference'!$B$8:$B$904,0),(MATCH($S$93,'[2]liste reference'!$A$8:$A$904,0)))</f>
        <v>69</v>
      </c>
      <c r="U91" s="256"/>
    </row>
    <row r="92" customFormat="false" ht="12.75" hidden="false" customHeight="false" outlineLevel="0" collapsed="false">
      <c r="Q92" s="10" t="s">
        <v>98</v>
      </c>
      <c r="R92" s="10"/>
      <c r="S92" s="10" t="n">
        <f aca="false">MATCH(S87,$S$23:$S$82,0)</f>
        <v>6</v>
      </c>
      <c r="T92" s="10"/>
    </row>
    <row r="93" customFormat="false" ht="12.75" hidden="false" customHeight="false" outlineLevel="0" collapsed="false">
      <c r="Q93" s="216" t="s">
        <v>99</v>
      </c>
      <c r="R93" s="10"/>
      <c r="S93" s="216" t="str">
        <f aca="false">INDEX($A$23:$A$82,$S$92)</f>
        <v>SPISPX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2015-03-17T17:17:25Z</dcterms:created>
  <dc:creator>Laurent Bourgoin</dc:creator>
  <dc:description/>
  <dc:language>fr-FR</dc:language>
  <cp:lastModifiedBy>IMBERT Loïc</cp:lastModifiedBy>
  <dcterms:modified xsi:type="dcterms:W3CDTF">2015-06-10T16:20:56Z</dcterms:modified>
  <cp:revision>0</cp:revision>
  <dc:subject/>
  <dc:title/>
</cp:coreProperties>
</file>