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<sst xmlns="http://schemas.openxmlformats.org/spreadsheetml/2006/main" count="99" uniqueCount="93">
  <si>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</si>
  <si>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</si>
  <si>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</si>
  <si>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S.RENAHY</t>
  </si>
  <si>
    <t xml:space="preserve">conforme AFNOR T90-395 oct. 2003</t>
  </si>
  <si>
    <t xml:space="preserve">Ebron</t>
  </si>
  <si>
    <t xml:space="preserve">EBRON A PREBOIS</t>
  </si>
  <si>
    <t xml:space="preserve">06580884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</si>
  <si>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</si>
  <si>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</si>
  <si>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</si>
  <si>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</si>
  <si>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</si>
  <si>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</si>
  <si>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</si>
  <si>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</si>
  <si>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</si>
  <si>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</si>
  <si>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</si>
  <si>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</si>
  <si>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</si>
  <si>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</si>
  <si>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</si>
  <si>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</si>
  <si>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</si>
  <si>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</si>
  <si>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</si>
  <si>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</si>
  <si>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</si>
  <si>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</si>
  <si>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</si>
  <si>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</si>
  <si>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</si>
  <si>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</si>
  <si>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</si>
  <si>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</si>
  <si>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</si>
  <si>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</si>
  <si>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</si>
  <si>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</si>
  <si>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</si>
  <si>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</si>
  <si>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</si>
  <si>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</si>
  <si>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</si>
  <si>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</si>
  <si>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</si>
  <si>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</si>
  <si>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</si>
  <si>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</si>
  <si>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</si>
  <si>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</si>
  <si>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</si>
  <si>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</si>
  <si>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</si>
  <si>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</si>
  <si>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</si>
  <si>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</si>
  <si>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</si>
  <si>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</si>
  <si>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</si>
  <si>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</si>
  <si>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</si>
  <si>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</si>
  <si>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</si>
  <si>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</si>
  <si>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</si>
  <si>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</si>
  <si>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</si>
  <si>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</si>
  <si>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</si>
  <si>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</si>
  <si>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</si>
  <si>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</si>
  <si>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</si>
  <si>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</si>
  <si>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</si>
  <si>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</si>
  <si>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</si>
  <si>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</si>
  <si>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RHYRIP</t>
  </si>
  <si>
    <t xml:space="preserve">newcod</t>
  </si>
  <si>
    <t xml:space="preserve">Gomphoneis sp.</t>
  </si>
  <si>
    <t xml:space="preserve">autres diatomées n'appartenant au genre Diatoma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</si>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</sst>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EBROP_04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41521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11.3333333333333</v>
      </c>
      <c r="M5" s="53"/>
      <c r="N5" s="54" t="s">
        <v>16</v>
      </c>
      <c r="O5" s="55" t="n">
        <v>10.5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10.75</v>
      </c>
      <c r="O8" s="84" t="n">
        <f aca="false">IF(ISERROR(AVERAGE(J23:J82)),"      -",AVERAGE(J23:J82))</f>
        <v>1.5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10.22</v>
      </c>
      <c r="C9" s="87" t="n">
        <v>50.51</v>
      </c>
      <c r="D9" s="88"/>
      <c r="E9" s="88"/>
      <c r="F9" s="89" t="n">
        <f aca="false">($B9*$B$7+$C9*$C$7)/100</f>
        <v>12.2345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2.77263412660235</v>
      </c>
      <c r="O9" s="84" t="n">
        <f aca="false">IF(ISERROR(STDEVP(J23:J82)),"      -",STDEVP(J23:J82))</f>
        <v>0.5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10.21</v>
      </c>
      <c r="C12" s="119" t="n">
        <v>50.51</v>
      </c>
      <c r="D12" s="111"/>
      <c r="E12" s="111"/>
      <c r="F12" s="112" t="n">
        <f aca="false">($B12*$B$7+$C12*$C$7)/100</f>
        <v>12.225</v>
      </c>
      <c r="G12" s="120"/>
      <c r="H12" s="68"/>
      <c r="I12" s="121" t="s">
        <v>39</v>
      </c>
      <c r="J12" s="121"/>
      <c r="K12" s="115" t="n">
        <f aca="false">COUNTIF($G$23:$G$82,"=ALG")</f>
        <v>3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0.01</v>
      </c>
      <c r="C13" s="119"/>
      <c r="D13" s="111"/>
      <c r="E13" s="111"/>
      <c r="F13" s="112" t="n">
        <f aca="false">($B13*$B$7+$C13*$C$7)/100</f>
        <v>0.0095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1</v>
      </c>
      <c r="L13" s="116"/>
      <c r="M13" s="127" t="s">
        <v>42</v>
      </c>
      <c r="N13" s="128" t="n">
        <f aca="false">COUNTIF(F23:F82,"&gt;0")</f>
        <v>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4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10.22</v>
      </c>
      <c r="C17" s="119" t="n">
        <v>50.51</v>
      </c>
      <c r="D17" s="111"/>
      <c r="E17" s="111"/>
      <c r="F17" s="143"/>
      <c r="G17" s="112" t="n">
        <f aca="false">($B17*$B$7+$C17*$C$7)/100</f>
        <v>12.2345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12.2345</v>
      </c>
      <c r="G19" s="156" t="n">
        <f aca="false">SUM(G16:G18)</f>
        <v>12.2345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10.22</v>
      </c>
      <c r="C20" s="166" t="n">
        <f aca="false">SUM(C23:C82)</f>
        <v>50.51</v>
      </c>
      <c r="D20" s="167"/>
      <c r="E20" s="168" t="s">
        <v>54</v>
      </c>
      <c r="F20" s="169" t="n">
        <f aca="false">($B20*$B$7+$C20*$C$7)/100</f>
        <v>12.2345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9.709</v>
      </c>
      <c r="C21" s="179" t="n">
        <f aca="false">C20*C7/100</f>
        <v>2.5255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12.2345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0.1</v>
      </c>
      <c r="C23" s="205" t="n">
        <v>0.01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0.0955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0.0955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0.025</v>
      </c>
      <c r="C24" s="224" t="n">
        <v>0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Diatoma sp.</v>
      </c>
      <c r="E24" s="225" t="e">
        <f aca="false">IF(D24="",0,VLOOKUP(D24,D$22:D23,1,0))</f>
        <v>#N/A</v>
      </c>
      <c r="F24" s="226" t="n">
        <f aca="false">($B24*$B$7+$C24*$C$7)/100</f>
        <v>0.02375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Diatoma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5" t="n">
        <f aca="false">IF(ISTEXT(H24),"",(B24*$B$7/100)+(C24*$C$7/100))</f>
        <v>0.02375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12</v>
      </c>
      <c r="T24" s="216" t="n">
        <f aca="false">IF(ISERROR(R24*I24*J24),0,R24*I24*J24)</f>
        <v>24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DIASPX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16</v>
      </c>
      <c r="B25" s="223" t="n">
        <v>0.035</v>
      </c>
      <c r="C25" s="224" t="n">
        <v>0.4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5" t="e">
        <f aca="false">IF(D25="",0,VLOOKUP(D25,D$22:D24,1,0))</f>
        <v>#N/A</v>
      </c>
      <c r="F25" s="226" t="n">
        <f aca="false">($B25*$B$7+$C25*$C$7)/100</f>
        <v>0.05325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5" t="n">
        <f aca="false">IF(ISTEXT(H25),"",(B25*$B$7/100)+(C25*$C$7/100))</f>
        <v>0.05325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0.01</v>
      </c>
      <c r="C26" s="224" t="n">
        <v>0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Rhynchostegium riparioides</v>
      </c>
      <c r="E26" s="225" t="e">
        <f aca="false">IF(D26="",0,VLOOKUP(D26,D$22:D25,1,0))</f>
        <v>#N/A</v>
      </c>
      <c r="F26" s="226" t="n">
        <f aca="false">($B26*$B$7+$C26*$C$7)/100</f>
        <v>0.0095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BRm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5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12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Rhynchostegium riparioides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1268</v>
      </c>
      <c r="Q26" s="215" t="n">
        <f aca="false">IF(ISTEXT(H26),"",(B26*$B$7/100)+(C26*$C$7/100))</f>
        <v>0.0095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12</v>
      </c>
      <c r="T26" s="216" t="n">
        <f aca="false">IF(ISERROR(R26*I26*J26),0,R26*I26*J26)</f>
        <v>12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RHYRIP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252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8.05</v>
      </c>
      <c r="C27" s="224" t="n">
        <v>40.1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/>
      </c>
      <c r="E27" s="225" t="n">
        <f aca="false">IF(D27="",0,VLOOKUP(D27,D$22:D26,1,0))</f>
        <v>0</v>
      </c>
      <c r="F27" s="226" t="n">
        <f aca="false">($B27*$B$7+$C27*$C$7)/100</f>
        <v>9.6525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    -</v>
      </c>
      <c r="H27" s="209" t="str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x</v>
      </c>
      <c r="I27" s="210" t="str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/>
      </c>
      <c r="J27" s="210" t="str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/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Gomphoneis sp.</v>
      </c>
      <c r="L27" s="227"/>
      <c r="M27" s="227"/>
      <c r="N27" s="227"/>
      <c r="O27" s="213"/>
      <c r="P27" s="214" t="str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No</v>
      </c>
      <c r="Q27" s="215" t="str">
        <f aca="false">IF(ISTEXT(H27),"",(B27*$B$7/100)+(C27*$C$7/100))</f>
        <v/>
      </c>
      <c r="R27" s="216" t="str">
        <f aca="false">IF(OR(ISTEXT(H27),Q27=0),"",IF(Q27&lt;0.1,1,IF(Q27&lt;1,2,IF(Q27&lt;10,3,IF(Q27&lt;50,4,IF(Q27&gt;=50,5,""))))))</f>
        <v/>
      </c>
      <c r="S27" s="216" t="n">
        <f aca="false">IF(ISERROR(R27*I27),0,R27*I27)</f>
        <v>0</v>
      </c>
      <c r="T27" s="216" t="n">
        <f aca="false">IF(ISERROR(R27*I27*J27),0,R27*I27*J27)</f>
        <v>0</v>
      </c>
      <c r="U27" s="228" t="n">
        <f aca="false">IF(ISERROR(R27*J27),0,R27*J27)</f>
        <v>0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newcod</v>
      </c>
      <c r="Z27" s="10" t="str">
        <f aca="false">IF(ISERROR(MATCH(A27,'[1]liste reference'!$A$8:$A$904,0)),IF(ISERROR(MATCH(A27,'[1]liste reference'!$B$8:$B$904,0)),"",(MATCH(A27,'[1]liste reference'!$B$8:$B$904,0))),(MATCH(A27,'[1]liste reference'!$A$8:$A$904,0)))</f>
        <v/>
      </c>
      <c r="AA27" s="220"/>
      <c r="AB27" s="221" t="s">
        <v>82</v>
      </c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81</v>
      </c>
      <c r="B28" s="223" t="n">
        <v>2</v>
      </c>
      <c r="C28" s="224" t="n">
        <v>10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/>
      </c>
      <c r="E28" s="225" t="n">
        <f aca="false">IF(D28="",0,VLOOKUP(D28,D$22:D27,1,0))</f>
        <v>0</v>
      </c>
      <c r="F28" s="226" t="n">
        <f aca="false">($B28*$B$7+$C28*$C$7)/100</f>
        <v>2.4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    -</v>
      </c>
      <c r="H28" s="209" t="str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x</v>
      </c>
      <c r="I28" s="210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0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autres diatomées n'appartenant au genre Diatoma</v>
      </c>
      <c r="L28" s="227"/>
      <c r="M28" s="227"/>
      <c r="N28" s="227"/>
      <c r="O28" s="213"/>
      <c r="P28" s="214" t="str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No</v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newcod</v>
      </c>
      <c r="Z28" s="10" t="str">
        <f aca="false">IF(ISERROR(MATCH(A28,'[1]liste reference'!$A$8:$A$904,0)),IF(ISERROR(MATCH(A28,'[1]liste reference'!$B$8:$B$904,0)),"",(MATCH(A28,'[1]liste reference'!$B$8:$B$904,0))),(MATCH(A28,'[1]liste reference'!$A$8:$A$904,0)))</f>
        <v/>
      </c>
      <c r="AA28" s="220"/>
      <c r="AB28" s="221" t="s">
        <v>83</v>
      </c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/>
      </c>
      <c r="H29" s="209" t="str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x</v>
      </c>
      <c r="I29" s="210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0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/>
      </c>
      <c r="Z29" s="10" t="str">
        <f aca="false">IF(ISERROR(MATCH(A29,'[1]liste reference'!$A$8:$A$904,0)),IF(ISERROR(MATCH(A29,'[1]liste reference'!$B$8:$B$904,0)),"",(MATCH(A29,'[1]liste reference'!$B$8:$B$904,0))),(MATCH(A29,'[1]liste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09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09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0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9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Ebron</v>
      </c>
      <c r="B84" s="258" t="str">
        <f aca="false">C3</f>
        <v>EBRON A PREBOIS</v>
      </c>
      <c r="C84" s="259" t="n">
        <f aca="false">A4</f>
        <v>41521</v>
      </c>
      <c r="D84" s="260" t="n">
        <f aca="false">IF(ISERROR(SUM($T$23:$T$82)/SUM($U$23:$U$82)),"",SUM($T$23:$T$82)/SUM($U$23:$U$82))</f>
        <v>11.3333333333333</v>
      </c>
      <c r="E84" s="261" t="n">
        <f aca="false">N13</f>
        <v>6</v>
      </c>
      <c r="F84" s="258" t="n">
        <f aca="false">N14</f>
        <v>4</v>
      </c>
      <c r="G84" s="258" t="n">
        <f aca="false">N15</f>
        <v>2</v>
      </c>
      <c r="H84" s="258" t="n">
        <f aca="false">N16</f>
        <v>2</v>
      </c>
      <c r="I84" s="258" t="n">
        <f aca="false">N17</f>
        <v>0</v>
      </c>
      <c r="J84" s="262" t="n">
        <f aca="false">N8</f>
        <v>10.75</v>
      </c>
      <c r="K84" s="260" t="n">
        <f aca="false">N9</f>
        <v>2.77263412660235</v>
      </c>
      <c r="L84" s="261" t="n">
        <f aca="false">N10</f>
        <v>6</v>
      </c>
      <c r="M84" s="261" t="n">
        <f aca="false">N11</f>
        <v>13</v>
      </c>
      <c r="N84" s="260" t="n">
        <f aca="false">O8</f>
        <v>1.5</v>
      </c>
      <c r="O84" s="260" t="n">
        <f aca="false">O9</f>
        <v>0.5</v>
      </c>
      <c r="P84" s="261" t="n">
        <f aca="false">O10</f>
        <v>1</v>
      </c>
      <c r="Q84" s="261" t="n">
        <f aca="false">O11</f>
        <v>2</v>
      </c>
      <c r="R84" s="261" t="n">
        <f aca="false">F21</f>
        <v>12.2345</v>
      </c>
      <c r="S84" s="261" t="n">
        <f aca="false">K11</f>
        <v>0</v>
      </c>
      <c r="T84" s="261" t="n">
        <f aca="false">K12</f>
        <v>3</v>
      </c>
      <c r="U84" s="261" t="n">
        <f aca="false">K13</f>
        <v>1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85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7" t="n">
        <f aca="false">VLOOKUP(MAX($S$23:$S$82),($S$23:$U$82),1,0)</f>
        <v>13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7" t="n">
        <f aca="false">VLOOKUP((S87),($S$23:$U$82),2,0)</f>
        <v>26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67" t="n">
        <f aca="false">IF(ISERROR(SUM($T$23:$T$82)/SUM($U$23:$U$82)),"",(SUM($T$23:$T$82)-S88)/(SUM($U$23:$U$82)-S89))</f>
        <v>10.5</v>
      </c>
      <c r="T90" s="10"/>
    </row>
    <row r="91" customFormat="false" ht="12.75" hidden="false" customHeight="false" outlineLevel="0" collapsed="false">
      <c r="Q91" s="216" t="s">
        <v>90</v>
      </c>
      <c r="R91" s="216"/>
      <c r="S91" s="216" t="str">
        <f aca="false">INDEX('[1]liste reference'!$A$8:$A$904,$T$91)</f>
        <v>PHOSPX</v>
      </c>
      <c r="T91" s="10" t="n">
        <f aca="false">IF(ISERROR(MATCH($S$93,'[1]liste reference'!$A$8:$A$904,0)),MATCH($S$93,'[1]liste reference'!$B$8:$B$904,0),(MATCH($S$93,'[1]liste reference'!$A$8:$A$904,0)))</f>
        <v>57</v>
      </c>
      <c r="U91" s="256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92</v>
      </c>
      <c r="R93" s="10"/>
      <c r="S93" s="216" t="str">
        <f aca="false">INDEX($A$23:$A$82,$S$92)</f>
        <v>PHOSPX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2013-12-03T12:41:21Z</dcterms:created>
  <dc:creator>Laurent Bourgoin</dc:creator>
  <dc:description/>
  <dc:language>fr-FR</dc:language>
  <cp:lastModifiedBy>Laurent Bourgoin</cp:lastModifiedBy>
  <dcterms:modified xsi:type="dcterms:W3CDTF">2013-12-03T12:44:25Z</dcterms:modified>
  <cp:revision>0</cp:revision>
  <dc:subject/>
  <dc:title/>
</cp:coreProperties>
</file>