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<sst xmlns="http://schemas.openxmlformats.org/spreadsheetml/2006/main" count="120" uniqueCount="109">
  <si>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</si>
  <si>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</si>
  <si>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</si>
  <si>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L.BOURGOIN</t>
  </si>
  <si>
    <t xml:space="preserve">conforme AFNOR T90-395 oct. 2003</t>
  </si>
  <si>
    <t xml:space="preserve">Ouvèze</t>
  </si>
  <si>
    <t xml:space="preserve">OUVEZE A BUIS LES BARRONNIES</t>
  </si>
  <si>
    <t xml:space="preserve">06580901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</si>
  <si>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</si>
  <si>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</si>
  <si>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</si>
  <si>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</si>
  <si>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</si>
  <si>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</si>
  <si>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</si>
  <si>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</si>
  <si>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PHRAUS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</si>
  <si>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</si>
  <si>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</si>
  <si>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</si>
  <si>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</si>
  <si>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</si>
  <si>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</si>
  <si>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</si>
  <si>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</si>
  <si>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</si>
  <si>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</si>
  <si>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</si>
  <si>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</si>
  <si>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</si>
  <si>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</si>
  <si>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</si>
  <si>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</si>
  <si>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</si>
  <si>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</si>
  <si>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</si>
  <si>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</si>
  <si>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</si>
  <si>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</si>
  <si>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</si>
  <si>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</si>
  <si>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</si>
  <si>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</si>
  <si>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</si>
  <si>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</si>
  <si>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</si>
  <si>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</si>
  <si>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</si>
  <si>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</si>
  <si>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</si>
  <si>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</si>
  <si>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</si>
  <si>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</si>
  <si>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</si>
  <si>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</si>
  <si>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</si>
  <si>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</si>
  <si>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</si>
  <si>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</si>
  <si>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</si>
  <si>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</si>
  <si>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</si>
  <si>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</si>
  <si>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</si>
  <si>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</si>
  <si>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</si>
  <si>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</si>
  <si>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</si>
  <si>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</si>
  <si>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</si>
  <si>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</si>
  <si>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</si>
  <si>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</si>
  <si>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</si>
  <si>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</si>
  <si>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</si>
  <si>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</si>
  <si>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</si>
  <si>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DIASPX</t>
  </si>
  <si>
    <t xml:space="preserve">MOUSPX</t>
  </si>
  <si>
    <t xml:space="preserve">PHOSPX</t>
  </si>
  <si>
    <t xml:space="preserve">SPISPX</t>
  </si>
  <si>
    <t xml:space="preserve">TOYSPX</t>
  </si>
  <si>
    <t xml:space="preserve">VAUSPX</t>
  </si>
  <si>
    <t xml:space="preserve">BRYPSE</t>
  </si>
  <si>
    <t xml:space="preserve">BRYSPX</t>
  </si>
  <si>
    <t xml:space="preserve">FISCRA</t>
  </si>
  <si>
    <t xml:space="preserve">SCSRIV</t>
  </si>
  <si>
    <t xml:space="preserve">EQUSPX</t>
  </si>
  <si>
    <t xml:space="preserve">AGRSTO</t>
  </si>
  <si>
    <t xml:space="preserve">GLYFLU</t>
  </si>
  <si>
    <t xml:space="preserve">VERANA</t>
  </si>
  <si>
    <t xml:space="preserve">newcod</t>
  </si>
  <si>
    <t xml:space="preserve">Salix purpurea</t>
  </si>
  <si>
    <t xml:space="preserve">Encyonema</t>
  </si>
  <si>
    <t xml:space="preserve">Populus canescens</t>
  </si>
  <si>
    <t xml:space="preserve">Tussilago farfara</t>
  </si>
  <si>
    <t xml:space="preserve">Festuca sp.</t>
  </si>
  <si>
    <t xml:space="preserve">Carex sp.</t>
  </si>
  <si>
    <t xml:space="preserve">Barbula reflexa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</si>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</sst>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i val="true"/>
      <sz val="11"/>
      <color rgb="FF000000"/>
      <name val="Calibri"/>
      <family val="2"/>
    </font>
    <font>
      <sz val="8"/>
      <color rgb="FF000000"/>
      <name val="Tahoma"/>
      <family val="2"/>
    </font>
  </fonts>
  <fills count="28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FFCC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7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7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7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8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9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2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1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9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9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9" fillId="20" borderId="4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6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6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9720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OUBUI_18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41443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11.4230769230769</v>
      </c>
      <c r="M5" s="53"/>
      <c r="N5" s="54" t="s">
        <v>16</v>
      </c>
      <c r="O5" s="55" t="n">
        <v>12.15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11.1818181818182</v>
      </c>
      <c r="O8" s="84" t="n">
        <f aca="false">IF(ISERROR(AVERAGE(J23:J82)),"      -",AVERAGE(J23:J82))</f>
        <v>1.81818181818182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0.62</v>
      </c>
      <c r="C9" s="87" t="n">
        <v>84.11</v>
      </c>
      <c r="D9" s="88"/>
      <c r="E9" s="88"/>
      <c r="F9" s="89" t="n">
        <f aca="false">($B9*$B$7+$C9*$C$7)/100</f>
        <v>4.7945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2.85460335783774</v>
      </c>
      <c r="O9" s="84" t="n">
        <f aca="false">IF(ISERROR(STDEVP(J23:J82)),"      -",STDEVP(J23:J82))</f>
        <v>0.574959574576069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0.48</v>
      </c>
      <c r="C12" s="119" t="n">
        <v>4</v>
      </c>
      <c r="D12" s="111"/>
      <c r="E12" s="111"/>
      <c r="F12" s="112" t="n">
        <f aca="false">($B12*$B$7+$C12*$C$7)/100</f>
        <v>0.656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0.13</v>
      </c>
      <c r="C13" s="119" t="n">
        <v>0.01</v>
      </c>
      <c r="D13" s="111"/>
      <c r="E13" s="111"/>
      <c r="F13" s="112" t="n">
        <f aca="false">($B13*$B$7+$C13*$C$7)/100</f>
        <v>0.124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4</v>
      </c>
      <c r="L13" s="116"/>
      <c r="M13" s="127" t="s">
        <v>42</v>
      </c>
      <c r="N13" s="128" t="n">
        <f aca="false">COUNTIF(F23:F82,"&gt;0")</f>
        <v>22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0.01</v>
      </c>
      <c r="C15" s="136" t="n">
        <v>80.1</v>
      </c>
      <c r="D15" s="111"/>
      <c r="E15" s="111"/>
      <c r="F15" s="112" t="n">
        <f aca="false">($B15*$B$7+$C15*$C$7)/100</f>
        <v>4.0145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4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0.61</v>
      </c>
      <c r="C17" s="119" t="n">
        <v>4.01</v>
      </c>
      <c r="D17" s="111"/>
      <c r="E17" s="111"/>
      <c r="F17" s="143"/>
      <c r="G17" s="112" t="n">
        <f aca="false">($B17*$B$7+$C17*$C$7)/100</f>
        <v>0.78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0.01</v>
      </c>
      <c r="C18" s="146" t="n">
        <v>80.1</v>
      </c>
      <c r="D18" s="111"/>
      <c r="E18" s="147" t="s">
        <v>54</v>
      </c>
      <c r="F18" s="143"/>
      <c r="G18" s="112" t="n">
        <f aca="false">($B18*$B$7+$C18*$C$7)/100</f>
        <v>4.0145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4.7945</v>
      </c>
      <c r="G19" s="156" t="n">
        <f aca="false">SUM(G16:G18)</f>
        <v>4.7945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0.62</v>
      </c>
      <c r="C20" s="166" t="n">
        <f aca="false">SUM(C23:C82)</f>
        <v>84.6</v>
      </c>
      <c r="D20" s="167"/>
      <c r="E20" s="168" t="s">
        <v>54</v>
      </c>
      <c r="F20" s="169" t="n">
        <f aca="false">($B20*$B$7+$C20*$C$7)/100</f>
        <v>4.819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0.589</v>
      </c>
      <c r="C21" s="179" t="n">
        <f aca="false">C20*C7/100</f>
        <v>4.23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4.819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0.4</v>
      </c>
      <c r="C23" s="206" t="n">
        <v>3.75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Diatoma sp.</v>
      </c>
      <c r="E23" s="207" t="e">
        <f aca="false">IF(D23="",0,VLOOKUP(D23,D$22:D22,1,0))</f>
        <v>#N/A</v>
      </c>
      <c r="F23" s="208" t="n">
        <f aca="false">($B23*$B$7+$C23*$C$7)/100</f>
        <v>0.5675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12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Diatoma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6627</v>
      </c>
      <c r="Q23" s="216" t="n">
        <f aca="false">IF(ISTEXT(H23),"",(B23*$B$7/100)+(C23*$C$7/100))</f>
        <v>0.5675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24</v>
      </c>
      <c r="T23" s="217" t="n">
        <f aca="false">IF(ISERROR(R23*I23*J23),0,R23*I23*J23)</f>
        <v>48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DIASPX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0.25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Mougeotia sp.</v>
      </c>
      <c r="E24" s="226" t="e">
        <f aca="false">IF(D24="",0,VLOOKUP(D24,D$22:D23,1,0))</f>
        <v>#N/A</v>
      </c>
      <c r="F24" s="227" t="n">
        <f aca="false">($B24*$B$7+$C24*$C$7)/100</f>
        <v>0.0125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Mougeotia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1146</v>
      </c>
      <c r="Q24" s="216" t="n">
        <f aca="false">IF(ISTEXT(H24),"",(B24*$B$7/100)+(C24*$C$7/100))</f>
        <v>0.0125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MOUSPX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43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0.01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0.0095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6" t="n">
        <f aca="false">IF(ISTEXT(H25),"",(B25*$B$7/100)+(C25*$C$7/100))</f>
        <v>0.0095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0.03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Spirogyra sp.</v>
      </c>
      <c r="E26" s="226" t="e">
        <f aca="false">IF(D26="",0,VLOOKUP(D26,D$22:D25,1,0))</f>
        <v>#N/A</v>
      </c>
      <c r="F26" s="227" t="n">
        <f aca="false">($B26*$B$7+$C26*$C$7)/100</f>
        <v>0.0285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10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Spirogyra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1147</v>
      </c>
      <c r="Q26" s="216" t="n">
        <f aca="false">IF(ISTEXT(H26),"",(B26*$B$7/100)+(C26*$C$7/100))</f>
        <v>0.0285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10</v>
      </c>
      <c r="T26" s="217" t="n">
        <f aca="false">IF(ISERROR(R26*I26*J26),0,R26*I26*J26)</f>
        <v>10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SPISPX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69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0.03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Tolypothrix sp.</v>
      </c>
      <c r="E27" s="226" t="e">
        <f aca="false">IF(D27="",0,VLOOKUP(D27,D$22:D26,1,0))</f>
        <v>#N/A</v>
      </c>
      <c r="F27" s="227" t="n">
        <f aca="false">($B27*$B$7+$C27*$C$7)/100</f>
        <v>0.0285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Tolypothrix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6304</v>
      </c>
      <c r="Q27" s="216" t="n">
        <f aca="false">IF(ISTEXT(H27),"",(B27*$B$7/100)+(C27*$C$7/100))</f>
        <v>0.0285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TOYSPX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79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0.01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Vaucheria sp.</v>
      </c>
      <c r="E28" s="226" t="e">
        <f aca="false">IF(D28="",0,VLOOKUP(D28,D$22:D27,1,0))</f>
        <v>#N/A</v>
      </c>
      <c r="F28" s="227" t="n">
        <f aca="false">($B28*$B$7+$C28*$C$7)/100</f>
        <v>0.0095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4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Vaucheria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6193</v>
      </c>
      <c r="Q28" s="216" t="n">
        <f aca="false">IF(ISTEXT(H28),"",(B28*$B$7/100)+(C28*$C$7/100))</f>
        <v>0.0095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4</v>
      </c>
      <c r="T28" s="217" t="n">
        <f aca="false">IF(ISERROR(R28*I28*J28),0,R28*I28*J28)</f>
        <v>4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VAUSPX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0.01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Bryum pseudotriquetrum</v>
      </c>
      <c r="E29" s="226" t="e">
        <f aca="false">IF(D29="",0,VLOOKUP(D29,D$22:D28,1,0))</f>
        <v>#N/A</v>
      </c>
      <c r="F29" s="227" t="n">
        <f aca="false">($B29*$B$7+$C29*$C$7)/100</f>
        <v>0.0095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str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/>
      </c>
      <c r="J29" s="211" t="str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/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Bryum pseudotriquetrum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1274</v>
      </c>
      <c r="Q29" s="216" t="n">
        <f aca="false">IF(ISTEXT(H29),"",(B29*$B$7/100)+(C29*$C$7/100))</f>
        <v>0.0095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BRYPSE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160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0.01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Bryum sp.</v>
      </c>
      <c r="E30" s="226" t="e">
        <f aca="false">IF(D30="",0,VLOOKUP(D30,D$22:D29,1,0))</f>
        <v>#N/A</v>
      </c>
      <c r="F30" s="227" t="n">
        <f aca="false">($B30*$B$7+$C30*$C$7)/100</f>
        <v>0.0095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str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/>
      </c>
      <c r="J30" s="211" t="str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/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Bryum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1272</v>
      </c>
      <c r="Q30" s="216" t="n">
        <f aca="false">IF(ISTEXT(H30),"",(B30*$B$7/100)+(C30*$C$7/100))</f>
        <v>0.0095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BRYSPX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162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0.1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Fissidens crassipes</v>
      </c>
      <c r="E31" s="226" t="e">
        <f aca="false">IF(D31="",0,VLOOKUP(D31,D$22:D30,1,0))</f>
        <v>#N/A</v>
      </c>
      <c r="F31" s="227" t="n">
        <f aca="false">($B31*$B$7+$C31*$C$7)/100</f>
        <v>0.095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12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Fissidens crassipes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1294</v>
      </c>
      <c r="Q31" s="216" t="n">
        <f aca="false">IF(ISTEXT(H31),"",(B31*$B$7/100)+(C31*$C$7/100))</f>
        <v>0.095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12</v>
      </c>
      <c r="T31" s="217" t="n">
        <f aca="false">IF(ISERROR(R31*I31*J31),0,R31*I31*J31)</f>
        <v>24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FISCRA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197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87</v>
      </c>
      <c r="B32" s="224" t="n">
        <v>0.01</v>
      </c>
      <c r="C32" s="225" t="n">
        <v>0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Schistidium rivulare</v>
      </c>
      <c r="E32" s="226" t="e">
        <f aca="false">IF(D32="",0,VLOOKUP(D32,D$22:D31,1,0))</f>
        <v>#N/A</v>
      </c>
      <c r="F32" s="227" t="n">
        <f aca="false">($B32*$B$7+$C32*$C$7)/100</f>
        <v>0.0095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15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Schistidium rivulare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1327</v>
      </c>
      <c r="Q32" s="216" t="n">
        <f aca="false">IF(ISTEXT(H32),"",(B32*$B$7/100)+(C32*$C$7/100))</f>
        <v>0.0095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15</v>
      </c>
      <c r="T32" s="217" t="n">
        <f aca="false">IF(ISERROR(R32*I32*J32),0,R32*I32*J32)</f>
        <v>45</v>
      </c>
      <c r="U32" s="229" t="n">
        <f aca="false">IF(ISERROR(R32*J32),0,R32*J32)</f>
        <v>3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SCSRIV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255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88</v>
      </c>
      <c r="B33" s="224" t="n">
        <v>0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Equisetum sp.</v>
      </c>
      <c r="E33" s="226" t="e">
        <f aca="false">IF(D33="",0,VLOOKUP(D33,D$22:D32,1,0))</f>
        <v>#N/A</v>
      </c>
      <c r="F33" s="227" t="n">
        <f aca="false">($B33*$B$7+$C33*$C$7)/100</f>
        <v>0.0005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PTE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6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Equisetum sp.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1383</v>
      </c>
      <c r="Q33" s="216" t="n">
        <f aca="false">IF(ISTEXT(H33),"",(B33*$B$7/100)+(C33*$C$7/100))</f>
        <v>0.0005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EQUSPX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283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89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Agrostis stolonifera</v>
      </c>
      <c r="E34" s="226" t="e">
        <f aca="false">IF(D34="",0,VLOOKUP(D34,D$22:D33,1,0))</f>
        <v>#N/A</v>
      </c>
      <c r="F34" s="231" t="n">
        <f aca="false">($B34*$B$7+$C34*$C$7)/100</f>
        <v>0.0005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PHe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8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Agrostis stolonifera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1543</v>
      </c>
      <c r="Q34" s="216" t="n">
        <f aca="false">IF(ISTEXT(H34),"",(B34*$B$7/100)+(C34*$C$7/100))</f>
        <v>0.0005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10</v>
      </c>
      <c r="T34" s="217" t="n">
        <f aca="false">IF(ISERROR(R34*I34*J34),0,R34*I34*J34)</f>
        <v>10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AGRSTO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514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90</v>
      </c>
      <c r="B35" s="224" t="n">
        <v>0.01</v>
      </c>
      <c r="C35" s="225" t="n">
        <v>0.01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Glyceria fluitans</v>
      </c>
      <c r="E35" s="226" t="e">
        <f aca="false">IF(D35="",0,VLOOKUP(D35,D$22:D34,1,0))</f>
        <v>#N/A</v>
      </c>
      <c r="F35" s="231" t="n">
        <f aca="false">($B35*$B$7+$C35*$C$7)/100</f>
        <v>0.01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8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14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2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Glyceria fluitans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1564</v>
      </c>
      <c r="Q35" s="216" t="n">
        <f aca="false">IF(ISTEXT(H35),"",(B35*$B$7/100)+(C35*$C$7/100))</f>
        <v>0.01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14</v>
      </c>
      <c r="T35" s="217" t="n">
        <f aca="false">IF(ISERROR(R35*I35*J35),0,R35*I35*J35)</f>
        <v>28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GLYFLU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575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16</v>
      </c>
      <c r="B36" s="224" t="n">
        <v>0</v>
      </c>
      <c r="C36" s="225" t="n">
        <v>80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Phragmites australis</v>
      </c>
      <c r="E36" s="226" t="e">
        <f aca="false">IF(D36="",0,VLOOKUP(D36,D$22:D35,1,0))</f>
        <v>#N/A</v>
      </c>
      <c r="F36" s="231" t="n">
        <f aca="false">($B36*$B$7+$C36*$C$7)/100</f>
        <v>4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8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9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Phragmites australis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1579</v>
      </c>
      <c r="Q36" s="216" t="n">
        <f aca="false">IF(ISTEXT(H36),"",(B36*$B$7/100)+(C36*$C$7/100))</f>
        <v>4</v>
      </c>
      <c r="R36" s="217" t="n">
        <f aca="false">IF(OR(ISTEXT(H36),Q36=0),"",IF(Q36&lt;0.1,1,IF(Q36&lt;1,2,IF(Q36&lt;10,3,IF(Q36&lt;50,4,IF(Q36&gt;=50,5,""))))))</f>
        <v>3</v>
      </c>
      <c r="S36" s="217" t="n">
        <f aca="false">IF(ISERROR(R36*I36),0,R36*I36)</f>
        <v>27</v>
      </c>
      <c r="T36" s="217" t="n">
        <f aca="false">IF(ISERROR(R36*I36*J36),0,R36*I36*J36)</f>
        <v>54</v>
      </c>
      <c r="U36" s="229" t="n">
        <f aca="false">IF(ISERROR(R36*J36),0,R36*J36)</f>
        <v>6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PHRAUS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635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Veronica anagallis-aquatica</v>
      </c>
      <c r="E37" s="226" t="e">
        <f aca="false">IF(D37="",0,VLOOKUP(D37,D$22:D36,1,0))</f>
        <v>#N/A</v>
      </c>
      <c r="F37" s="231" t="n">
        <f aca="false">($B37*$B$7+$C37*$C$7)/100</f>
        <v>0.0005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10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8</v>
      </c>
      <c r="I37" s="211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11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Veronica anagallis-aquatica</v>
      </c>
      <c r="L37" s="228"/>
      <c r="M37" s="228"/>
      <c r="N37" s="228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1955</v>
      </c>
      <c r="Q37" s="216" t="n">
        <f aca="false">IF(ISTEXT(H37),"",(B37*$B$7/100)+(C37*$C$7/100))</f>
        <v>0.0005</v>
      </c>
      <c r="R37" s="217" t="n">
        <f aca="false">IF(OR(ISTEXT(H37),Q37=0),"",IF(Q37&lt;0.1,1,IF(Q37&lt;1,2,IF(Q37&lt;10,3,IF(Q37&lt;50,4,IF(Q37&gt;=50,5,""))))))</f>
        <v>1</v>
      </c>
      <c r="S37" s="217" t="n">
        <f aca="false">IF(ISERROR(R37*I37),0,R37*I37)</f>
        <v>11</v>
      </c>
      <c r="T37" s="217" t="n">
        <f aca="false">IF(ISERROR(R37*I37*J37),0,R37*I37*J37)</f>
        <v>22</v>
      </c>
      <c r="U37" s="229" t="n">
        <f aca="false">IF(ISERROR(R37*J37),0,R37*J37)</f>
        <v>2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VERANA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682</v>
      </c>
      <c r="AA37" s="221"/>
      <c r="AB37" s="222"/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92</v>
      </c>
      <c r="B38" s="224" t="n">
        <v>0</v>
      </c>
      <c r="C38" s="225" t="n">
        <v>0.01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0.0005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    -</v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Salix purpurea</v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No</v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newcod</v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 t="s">
        <v>93</v>
      </c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 t="s">
        <v>92</v>
      </c>
      <c r="B39" s="224" t="n">
        <v>0</v>
      </c>
      <c r="C39" s="225" t="n">
        <v>0.5</v>
      </c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0.025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    -</v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Encyonema</v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No</v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>newcod</v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 t="s">
        <v>94</v>
      </c>
      <c r="AC39" s="222"/>
      <c r="BB39" s="10" t="n">
        <f aca="false">IF(A39="","",1)</f>
        <v>1</v>
      </c>
    </row>
    <row r="40" customFormat="false" ht="12.75" hidden="false" customHeight="false" outlineLevel="0" collapsed="false">
      <c r="A40" s="223" t="s">
        <v>92</v>
      </c>
      <c r="B40" s="224" t="n">
        <v>0</v>
      </c>
      <c r="C40" s="225" t="n">
        <v>0.01</v>
      </c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0.0005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    -</v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Populus canescens</v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No</v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>newcod</v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 t="s">
        <v>95</v>
      </c>
      <c r="AC40" s="222"/>
      <c r="BB40" s="10" t="n">
        <f aca="false">IF(A40="","",1)</f>
        <v>1</v>
      </c>
    </row>
    <row r="41" customFormat="false" ht="12.75" hidden="false" customHeight="false" outlineLevel="0" collapsed="false">
      <c r="A41" s="223" t="s">
        <v>92</v>
      </c>
      <c r="B41" s="224" t="n">
        <v>0</v>
      </c>
      <c r="C41" s="225" t="n">
        <v>0.01</v>
      </c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0.0005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    -</v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Tussilago farfara</v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No</v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>newcod</v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 t="s">
        <v>96</v>
      </c>
      <c r="AC41" s="222"/>
      <c r="BB41" s="10" t="n">
        <f aca="false">IF(A41="","",1)</f>
        <v>1</v>
      </c>
    </row>
    <row r="42" customFormat="false" ht="12.75" hidden="false" customHeight="false" outlineLevel="0" collapsed="false">
      <c r="A42" s="223" t="s">
        <v>92</v>
      </c>
      <c r="B42" s="224" t="n">
        <v>0</v>
      </c>
      <c r="C42" s="225" t="n">
        <v>0.01</v>
      </c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0.0005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    -</v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Festuca sp.</v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No</v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>newcod</v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 t="s">
        <v>97</v>
      </c>
      <c r="AC42" s="222"/>
      <c r="BB42" s="10" t="n">
        <f aca="false">IF(A42="","",1)</f>
        <v>1</v>
      </c>
    </row>
    <row r="43" customFormat="false" ht="12.75" hidden="false" customHeight="false" outlineLevel="0" collapsed="false">
      <c r="A43" s="223" t="s">
        <v>92</v>
      </c>
      <c r="B43" s="224" t="n">
        <v>0</v>
      </c>
      <c r="C43" s="225" t="n">
        <v>0.01</v>
      </c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0.0005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    -</v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Carex sp.</v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No</v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>newcod</v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 t="s">
        <v>98</v>
      </c>
      <c r="AC43" s="222"/>
      <c r="BB43" s="10" t="n">
        <f aca="false">IF(A43="","",1)</f>
        <v>1</v>
      </c>
    </row>
    <row r="44" customFormat="false" ht="15" hidden="false" customHeight="false" outlineLevel="0" collapsed="false">
      <c r="A44" s="223" t="s">
        <v>92</v>
      </c>
      <c r="B44" s="224" t="n">
        <v>0</v>
      </c>
      <c r="C44" s="225" t="n">
        <v>0.01</v>
      </c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0.0005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    -</v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Barbula reflexa</v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No</v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>newcod</v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32" t="s">
        <v>99</v>
      </c>
      <c r="AC44" s="222"/>
      <c r="BB44" s="10" t="n">
        <f aca="false">IF(A44="","",1)</f>
        <v>1</v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3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4"/>
      <c r="M59" s="234"/>
      <c r="N59" s="234"/>
      <c r="O59" s="214"/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4"/>
      <c r="M60" s="234"/>
      <c r="N60" s="234"/>
      <c r="O60" s="214"/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6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7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9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9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9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9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9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9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9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9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9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9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9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9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9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9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9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9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9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9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4"/>
      <c r="M81" s="234"/>
      <c r="N81" s="234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40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1"/>
      <c r="B82" s="242"/>
      <c r="C82" s="243"/>
      <c r="D82" s="244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5" t="n">
        <f aca="false">IF(D82="",0,VLOOKUP(D82,D$20:D80,1,0))</f>
        <v>0</v>
      </c>
      <c r="F82" s="246" t="n">
        <f aca="false">($B82*$B$7+$C82*$C$7)/100</f>
        <v>0</v>
      </c>
      <c r="G82" s="247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8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9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50"/>
      <c r="M82" s="250"/>
      <c r="N82" s="250"/>
      <c r="O82" s="251"/>
      <c r="P82" s="252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3"/>
      <c r="X82" s="254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5" t="s">
        <v>100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6"/>
      <c r="Q83" s="256"/>
      <c r="R83" s="256"/>
      <c r="S83" s="256"/>
      <c r="T83" s="10"/>
      <c r="U83" s="10"/>
      <c r="V83" s="256"/>
      <c r="W83" s="256"/>
      <c r="X83" s="256"/>
      <c r="Y83" s="257"/>
      <c r="Z83" s="257"/>
      <c r="AA83" s="257"/>
      <c r="AB83" s="258"/>
      <c r="AC83" s="258"/>
      <c r="AD83" s="258"/>
    </row>
    <row r="84" customFormat="false" ht="12.75" hidden="true" customHeight="false" outlineLevel="0" collapsed="false">
      <c r="A84" s="259" t="str">
        <f aca="false">A3</f>
        <v>Ouvèze</v>
      </c>
      <c r="B84" s="260" t="str">
        <f aca="false">C3</f>
        <v>OUVEZE A BUIS LES BARRONNIES</v>
      </c>
      <c r="C84" s="261" t="n">
        <f aca="false">A4</f>
        <v>41443</v>
      </c>
      <c r="D84" s="262" t="n">
        <f aca="false">IF(ISERROR(SUM($T$23:$T$82)/SUM($U$23:$U$82)),"",SUM($T$23:$T$82)/SUM($U$23:$U$82))</f>
        <v>11.4230769230769</v>
      </c>
      <c r="E84" s="263" t="n">
        <f aca="false">N13</f>
        <v>22</v>
      </c>
      <c r="F84" s="260" t="n">
        <f aca="false">N14</f>
        <v>11</v>
      </c>
      <c r="G84" s="260" t="n">
        <f aca="false">N15</f>
        <v>3</v>
      </c>
      <c r="H84" s="260" t="n">
        <f aca="false">N16</f>
        <v>7</v>
      </c>
      <c r="I84" s="260" t="n">
        <f aca="false">N17</f>
        <v>1</v>
      </c>
      <c r="J84" s="264" t="n">
        <f aca="false">N8</f>
        <v>11.1818181818182</v>
      </c>
      <c r="K84" s="262" t="n">
        <f aca="false">N9</f>
        <v>2.85460335783774</v>
      </c>
      <c r="L84" s="263" t="n">
        <f aca="false">N10</f>
        <v>4</v>
      </c>
      <c r="M84" s="263" t="n">
        <f aca="false">N11</f>
        <v>15</v>
      </c>
      <c r="N84" s="262" t="n">
        <f aca="false">O8</f>
        <v>1.81818181818182</v>
      </c>
      <c r="O84" s="262" t="n">
        <f aca="false">O9</f>
        <v>0.574959574576069</v>
      </c>
      <c r="P84" s="263" t="n">
        <f aca="false">O10</f>
        <v>1</v>
      </c>
      <c r="Q84" s="263" t="n">
        <f aca="false">O11</f>
        <v>3</v>
      </c>
      <c r="R84" s="263" t="n">
        <f aca="false">F21</f>
        <v>4.819</v>
      </c>
      <c r="S84" s="263" t="n">
        <f aca="false">K11</f>
        <v>0</v>
      </c>
      <c r="T84" s="263" t="n">
        <f aca="false">K12</f>
        <v>6</v>
      </c>
      <c r="U84" s="263" t="n">
        <f aca="false">K13</f>
        <v>4</v>
      </c>
      <c r="V84" s="265" t="n">
        <f aca="false">K14</f>
        <v>1</v>
      </c>
      <c r="W84" s="266" t="n">
        <f aca="false">K15</f>
        <v>4</v>
      </c>
      <c r="Z84" s="267"/>
      <c r="AA84" s="267"/>
      <c r="AB84" s="258"/>
      <c r="AC84" s="258"/>
      <c r="AD84" s="258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8" t="s">
        <v>101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102</v>
      </c>
      <c r="R87" s="10"/>
      <c r="S87" s="218" t="n">
        <f aca="false">VLOOKUP(MAX($S$23:$S$82),($S$23:$U$82),1,0)</f>
        <v>27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103</v>
      </c>
      <c r="R88" s="10"/>
      <c r="S88" s="218" t="n">
        <f aca="false">VLOOKUP((S87),($S$23:$U$82),2,0)</f>
        <v>54</v>
      </c>
      <c r="T88" s="10"/>
      <c r="U88" s="10"/>
      <c r="V88" s="10"/>
    </row>
    <row r="89" customFormat="false" ht="12.75" hidden="true" customHeight="false" outlineLevel="0" collapsed="false">
      <c r="Q89" s="10" t="s">
        <v>104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105</v>
      </c>
      <c r="R90" s="10"/>
      <c r="S90" s="269" t="n">
        <f aca="false">IF(ISERROR(SUM($T$23:$T$82)/SUM($U$23:$U$82)),"",(SUM($T$23:$T$82)-S88)/(SUM($U$23:$U$82)-S89))</f>
        <v>12.15</v>
      </c>
      <c r="T90" s="10"/>
    </row>
    <row r="91" customFormat="false" ht="12.75" hidden="false" customHeight="false" outlineLevel="0" collapsed="false">
      <c r="Q91" s="217" t="s">
        <v>106</v>
      </c>
      <c r="R91" s="217"/>
      <c r="S91" s="217" t="str">
        <f aca="false">INDEX('[1]liste reference'!$A$8:$A$904,$T$91)</f>
        <v>PHRAUS</v>
      </c>
      <c r="T91" s="10" t="n">
        <f aca="false">IF(ISERROR(MATCH($S$93,'[1]liste reference'!$A$8:$A$904,0)),MATCH($S$93,'[1]liste reference'!$B$8:$B$904,0),(MATCH($S$93,'[1]liste reference'!$A$8:$A$904,0)))</f>
        <v>635</v>
      </c>
      <c r="U91" s="258"/>
    </row>
    <row r="92" customFormat="false" ht="12.75" hidden="false" customHeight="false" outlineLevel="0" collapsed="false">
      <c r="Q92" s="10" t="s">
        <v>107</v>
      </c>
      <c r="R92" s="10"/>
      <c r="S92" s="10" t="n">
        <f aca="false">MATCH(S87,$S$23:$S$82,0)</f>
        <v>14</v>
      </c>
      <c r="T92" s="10"/>
    </row>
    <row r="93" customFormat="false" ht="12.75" hidden="false" customHeight="false" outlineLevel="0" collapsed="false">
      <c r="Q93" s="217" t="s">
        <v>108</v>
      </c>
      <c r="R93" s="10"/>
      <c r="S93" s="217" t="str">
        <f aca="false">INDEX($A$23:$A$82,$S$92)</f>
        <v>PHRAUS</v>
      </c>
      <c r="T93" s="10"/>
    </row>
    <row r="94" customFormat="false" ht="12.75" hidden="false" customHeight="false" outlineLevel="0" collapsed="false">
      <c r="S94" s="258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2013-12-18T11:32:19Z</dcterms:created>
  <dc:creator>li</dc:creator>
  <dc:description/>
  <dc:language>fr-FR</dc:language>
  <cp:lastModifiedBy>li</cp:lastModifiedBy>
  <dcterms:modified xsi:type="dcterms:W3CDTF">2013-12-18T11:32:21Z</dcterms:modified>
  <cp:revision>0</cp:revision>
  <dc:subject/>
  <dc:title/>
</cp:coreProperties>
</file>