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oup-Courmes" sheetId="1" state="visible" r:id="rId3"/>
  </sheets>
  <externalReferences>
    <externalReference r:id="rId4"/>
  </externalReferences>
  <definedNames>
    <definedName function="false" hidden="false" localSheetId="0" name="_xlnm.Print_Area" vbProcedure="false">'Loup-Courmes'!$A$1:$O$82</definedName>
    <definedName function="false" hidden="false" name="Cf_" vbProcedure="false">'[1]liste codes réf'!$F$25:$F$26</definedName>
    <definedName function="false" hidden="false" name="NOM" vbProcedure="false">'Loup-Courmes'!$H$1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'Loup-Courmes'!$A$23:$J$84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<sst xmlns="http://schemas.openxmlformats.org/spreadsheetml/2006/main" count="102" uniqueCount="98">
  <si>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</si>
  <si>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</si>
  <si>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</si>
  <si>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</si>
  <si>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</si>
  <si>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Loup</t>
  </si>
  <si>
    <t xml:space="preserve">Courmes</t>
  </si>
  <si>
    <t xml:space="preserve">06700125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</si>
  <si>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</si>
  <si>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</si>
  <si>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</si>
  <si>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</si>
  <si>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</si>
  <si>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</si>
  <si>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</si>
  <si>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OSC.SPX</t>
  </si>
  <si>
    <t xml:space="preserve">Type de faciès</t>
  </si>
  <si>
    <t xml:space="preserve">radier</t>
  </si>
  <si>
    <t xml:space="preserve">niv. trophique:</t>
  </si>
  <si>
    <t xml:space="preserve">moyen</t>
  </si>
  <si>
    <t xml:space="preserve">(moyen)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</si>
  <si>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</si>
  <si>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</si>
  <si>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</si>
  <si>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</si>
  <si>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</si>
  <si>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</si>
  <si>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</si>
  <si>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</si>
  <si>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</si>
  <si>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</si>
  <si>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</si>
  <si>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</si>
  <si>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</si>
  <si>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</si>
  <si>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</si>
  <si>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</si>
  <si>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</si>
  <si>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</si>
  <si>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</si>
  <si>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</si>
  <si>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</si>
  <si>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</si>
  <si>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</si>
  <si>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</si>
  <si>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</si>
  <si>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</si>
  <si>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</si>
  <si>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</si>
  <si>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</si>
  <si>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</si>
  <si>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</si>
  <si>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</si>
  <si>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</si>
  <si>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</si>
  <si>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</si>
  <si>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</si>
  <si>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</si>
  <si>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</si>
  <si>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</si>
  <si>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</si>
  <si>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</si>
  <si>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</si>
  <si>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</si>
  <si>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</si>
  <si>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</si>
  <si>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</si>
  <si>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</si>
  <si>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</si>
  <si>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</si>
  <si>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</si>
  <si>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</si>
  <si>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</si>
  <si>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LEA.SPX</t>
  </si>
  <si>
    <t xml:space="preserve">ULO.SPX</t>
  </si>
  <si>
    <t xml:space="preserve">CLA.SPX</t>
  </si>
  <si>
    <t xml:space="preserve">VAU.SPX</t>
  </si>
  <si>
    <t xml:space="preserve">SPI.SPX</t>
  </si>
  <si>
    <t xml:space="preserve">PEL.END</t>
  </si>
  <si>
    <t xml:space="preserve">FIS.CRA</t>
  </si>
  <si>
    <t xml:space="preserve">AMB.TEN</t>
  </si>
  <si>
    <t xml:space="preserve">CRA.COM</t>
  </si>
  <si>
    <t xml:space="preserve">RHY.RIP</t>
  </si>
  <si>
    <t xml:space="preserve">MEN.AQU</t>
  </si>
  <si>
    <t xml:space="preserve">MEN.LON</t>
  </si>
  <si>
    <t xml:space="preserve">EQU.PAL</t>
  </si>
  <si>
    <t xml:space="preserve">SCP.HOL</t>
  </si>
  <si>
    <t xml:space="preserve">NEW.COD</t>
  </si>
  <si>
    <t xml:space="preserve">Graminee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</si>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</sst>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7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0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0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2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3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4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6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5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7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5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Bes-Barles"/><sheetName val="Esteron-Gilette"/><sheetName val="Gapeau-Belgentier"/><sheetName val="Lez-Taulignan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40022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11.5</v>
      </c>
      <c r="M5" s="52"/>
      <c r="N5" s="53" t="s">
        <v>15</v>
      </c>
      <c r="O5" s="54" t="n">
        <v>11.5789473684211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11</v>
      </c>
      <c r="O8" s="83" t="n">
        <f aca="false">AVERAGE(J23:J82)</f>
        <v>1.33333333333333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3.41121146168977</v>
      </c>
      <c r="O9" s="83" t="n">
        <f aca="false">STDEV(J23:J82)</f>
        <v>0.492365963917331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4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15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7.64</v>
      </c>
      <c r="C12" s="118"/>
      <c r="D12" s="110"/>
      <c r="E12" s="110"/>
      <c r="F12" s="111" t="n">
        <f aca="false">($B12*$B$7+$C12*$C$7)/100</f>
        <v>7.64</v>
      </c>
      <c r="G12" s="119"/>
      <c r="H12" s="67"/>
      <c r="I12" s="120" t="s">
        <v>36</v>
      </c>
      <c r="J12" s="120"/>
      <c r="K12" s="114" t="n">
        <f aca="false">COUNTIF($G$23:$G$82,"=ALG")</f>
        <v>6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0.34</v>
      </c>
      <c r="C13" s="118"/>
      <c r="D13" s="110"/>
      <c r="E13" s="110"/>
      <c r="F13" s="111" t="n">
        <f aca="false">($B13*$B$7+$C13*$C$7)/100</f>
        <v>0.34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5</v>
      </c>
      <c r="L13" s="115"/>
      <c r="M13" s="125" t="s">
        <v>39</v>
      </c>
      <c r="N13" s="126" t="n">
        <f aca="false">COUNTIF(F23:F82,"&gt;0")</f>
        <v>16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12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0.06</v>
      </c>
      <c r="C15" s="133"/>
      <c r="D15" s="110"/>
      <c r="E15" s="110"/>
      <c r="F15" s="111" t="n">
        <f aca="false">($B15*$B$7+$C15*$C$7)/100</f>
        <v>0.06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3</v>
      </c>
      <c r="L15" s="115"/>
      <c r="M15" s="134" t="s">
        <v>45</v>
      </c>
      <c r="N15" s="135" t="n">
        <f aca="false">COUNTIF(J23:J82,"=1")</f>
        <v>8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4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7.98</v>
      </c>
      <c r="C17" s="118"/>
      <c r="D17" s="110"/>
      <c r="E17" s="110"/>
      <c r="F17" s="140"/>
      <c r="G17" s="111" t="n">
        <f aca="false">($B17*$B$7+$C17*$C$7)/100</f>
        <v>7.98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0.07</v>
      </c>
      <c r="C18" s="143"/>
      <c r="D18" s="110"/>
      <c r="E18" s="144" t="s">
        <v>51</v>
      </c>
      <c r="F18" s="140"/>
      <c r="G18" s="111" t="n">
        <f aca="false">($B18*$B$7+$C18*$C$7)/100</f>
        <v>0.07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8.05</v>
      </c>
      <c r="G19" s="152" t="n">
        <f aca="false">SUM(G16:G18)</f>
        <v>8.05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8.03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8.03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8.03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8.03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15</v>
      </c>
      <c r="B23" s="196" t="n">
        <v>2.7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Oscillatoria sp.       </v>
      </c>
      <c r="E23" s="198" t="e">
        <f aca="false">IF(D23="",0,VLOOKUP(D23,D$22:D22,1,0))</f>
        <v>#N/A</v>
      </c>
      <c r="F23" s="199" t="n">
        <f aca="false">($B23*$B$7+$C23*$C$7)/100</f>
        <v>2.7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11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Oscillatoria sp.       </v>
      </c>
      <c r="L23" s="205"/>
      <c r="M23" s="205"/>
      <c r="N23" s="205"/>
      <c r="O23" s="206"/>
      <c r="P23" s="207" t="n">
        <f aca="false">IF(ISTEXT(H23),"",(B23*$B$7/100)+(C23*$C$7/100))</f>
        <v>2.7</v>
      </c>
      <c r="Q23" s="208" t="n">
        <f aca="false">IF(OR(ISTEXT(H23),P23=0),"",IF(P23&lt;0.1,1,IF(P23&lt;1,2,IF(P23&lt;10,3,IF(P23&lt;50,4,IF(P23&gt;=50,5,""))))))</f>
        <v>3</v>
      </c>
      <c r="R23" s="208" t="n">
        <f aca="false">IF(ISERROR(Q23*I23),0,Q23*I23)</f>
        <v>33</v>
      </c>
      <c r="S23" s="208" t="n">
        <f aca="false">IF(ISERROR(Q23*I23*J23),0,Q23*I23*J23)</f>
        <v>33</v>
      </c>
      <c r="T23" s="208" t="n">
        <f aca="false">IF(ISERROR(Q23*J23),0,Q23*J23)</f>
        <v>3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OSC.SPX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57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73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Lemanea gr. fluviatilis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15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2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Lemanea gr. fluviatilis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15</v>
      </c>
      <c r="S24" s="208" t="n">
        <f aca="false">IF(ISERROR(Q24*I24*J24),0,Q24*I24*J24)</f>
        <v>30</v>
      </c>
      <c r="T24" s="223" t="n">
        <f aca="false">IF(ISERROR(Q24*J24),0,Q24*J24)</f>
        <v>2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LEA.SPX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35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74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Ulothrix sp.       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10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Ulothrix sp.       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10</v>
      </c>
      <c r="S25" s="208" t="n">
        <f aca="false">IF(ISERROR(Q25*I25*J25),0,Q25*I25*J25)</f>
        <v>10</v>
      </c>
      <c r="T25" s="223" t="n">
        <f aca="false">IF(ISERROR(Q25*J25),0,Q25*J25)</f>
        <v>1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ULO.SPX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82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75</v>
      </c>
      <c r="B26" s="215" t="n">
        <v>4.9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Cladophora sp. </v>
      </c>
      <c r="E26" s="217" t="e">
        <f aca="false">IF(D26="",0,VLOOKUP(D26,D$22:D25,1,0))</f>
        <v>#N/A</v>
      </c>
      <c r="F26" s="218" t="n">
        <f aca="false">($B26*$B$7+$C26*$C$7)/100</f>
        <v>4.9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6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Cladophora sp. </v>
      </c>
      <c r="L26" s="222"/>
      <c r="M26" s="222"/>
      <c r="N26" s="222"/>
      <c r="O26" s="206"/>
      <c r="P26" s="207" t="n">
        <f aca="false">IF(ISTEXT(H26),"",(B26*$B$7/100)+(C26*$C$7/100))</f>
        <v>4.9</v>
      </c>
      <c r="Q26" s="208" t="n">
        <f aca="false">IF(OR(ISTEXT(H26),P26=0),"",IF(P26&lt;0.1,1,IF(P26&lt;1,2,IF(P26&lt;10,3,IF(P26&lt;50,4,IF(P26&gt;=50,5,""))))))</f>
        <v>3</v>
      </c>
      <c r="R26" s="208" t="n">
        <f aca="false">IF(ISERROR(Q26*I26),0,Q26*I26)</f>
        <v>18</v>
      </c>
      <c r="S26" s="208" t="n">
        <f aca="false">IF(ISERROR(Q26*I26*J26),0,Q26*I26*J26)</f>
        <v>18</v>
      </c>
      <c r="T26" s="223" t="n">
        <f aca="false">IF(ISERROR(Q26*J26),0,Q26*J26)</f>
        <v>3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CLA.SPX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24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76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Vaucheria sp.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ALG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2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4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1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Vaucheria sp.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4</v>
      </c>
      <c r="S27" s="208" t="n">
        <f aca="false">IF(ISERROR(Q27*I27*J27),0,Q27*I27*J27)</f>
        <v>4</v>
      </c>
      <c r="T27" s="223" t="n">
        <f aca="false">IF(ISERROR(Q27*J27),0,Q27*J27)</f>
        <v>1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VAU.SPX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83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77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Spirogyra sp.       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ALG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2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10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Spirogyra sp.       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10</v>
      </c>
      <c r="S28" s="208" t="n">
        <f aca="false">IF(ISERROR(Q28*I28*J28),0,Q28*I28*J28)</f>
        <v>10</v>
      </c>
      <c r="T28" s="223" t="n">
        <f aca="false">IF(ISERROR(Q28*J28),0,Q28*J28)</f>
        <v>1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SPI.SPX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70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Pellia endiviifolia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BRh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4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Pellia endiviifolia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PEL.END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121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Fissidens crassipes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BRm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5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12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Fissidens crassipes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12</v>
      </c>
      <c r="S30" s="208" t="n">
        <f aca="false">IF(ISERROR(Q30*I30*J30),0,Q30*I30*J30)</f>
        <v>24</v>
      </c>
      <c r="T30" s="223" t="n">
        <f aca="false">IF(ISERROR(Q30*J30),0,Q30*J30)</f>
        <v>2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FIS.CRA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198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Amblystegium tenax (Hygroamblystegium tenax)    </v>
      </c>
      <c r="E31" s="217" t="e">
        <f aca="false">IF(D31="",0,VLOOKUP(D31,D$21:D30,1,0))</f>
        <v>#N/A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BRm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5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15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2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Amblystegium tenax (Hygroamblystegium tenax)    </v>
      </c>
      <c r="L31" s="222"/>
      <c r="M31" s="222"/>
      <c r="N31" s="222"/>
      <c r="O31" s="206"/>
      <c r="P31" s="207" t="n">
        <f aca="false">IF(ISTEXT(H31),"",(B31*$B$7/100)+(C31*$C$7/100))</f>
        <v>0.01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15</v>
      </c>
      <c r="S31" s="208" t="n">
        <f aca="false">IF(ISERROR(Q31*I31*J31),0,Q31*I31*J31)</f>
        <v>30</v>
      </c>
      <c r="T31" s="223" t="n">
        <f aca="false">IF(ISERROR(Q31*J31),0,Q31*J31)</f>
        <v>2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AMB.TEN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151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 t="n">
        <v>0.3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Cratoneuron commutatum</v>
      </c>
      <c r="E32" s="217" t="e">
        <f aca="false">IF(D32="",0,VLOOKUP(D32,D$22:D31,1,0))</f>
        <v>#N/A</v>
      </c>
      <c r="F32" s="218" t="n">
        <f aca="false">($B32*$B$7+$C32*$C$7)/100</f>
        <v>0.3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BRm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5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15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2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Cratoneuron commutatum</v>
      </c>
      <c r="L32" s="222"/>
      <c r="M32" s="222"/>
      <c r="N32" s="222"/>
      <c r="O32" s="206"/>
      <c r="P32" s="207" t="n">
        <f aca="false">IF(ISTEXT(H32),"",(B32*$B$7/100)+(C32*$C$7/100))</f>
        <v>0.3</v>
      </c>
      <c r="Q32" s="208" t="n">
        <f aca="false">IF(OR(ISTEXT(H32),P32=0),"",IF(P32&lt;0.1,1,IF(P32&lt;1,2,IF(P32&lt;10,3,IF(P32&lt;50,4,IF(P32&gt;=50,5,""))))))</f>
        <v>2</v>
      </c>
      <c r="R32" s="208" t="n">
        <f aca="false">IF(ISERROR(Q32*I32),0,Q32*I32)</f>
        <v>30</v>
      </c>
      <c r="S32" s="208" t="n">
        <f aca="false">IF(ISERROR(Q32*I32*J32),0,Q32*I32*J32)</f>
        <v>60</v>
      </c>
      <c r="T32" s="223" t="n">
        <f aca="false">IF(ISERROR(Q32*J32),0,Q32*J32)</f>
        <v>4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CRA.COM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178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 t="n">
        <v>0.01</v>
      </c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Rhynchostegium riparioides (Platyhypnidium rusciforme)</v>
      </c>
      <c r="E33" s="217" t="e">
        <f aca="false">IF(D33="",0,VLOOKUP(D33,D$22:D32,1,0))</f>
        <v>#N/A</v>
      </c>
      <c r="F33" s="218" t="n">
        <f aca="false">($B33*$B$7+$C33*$C$7)/100</f>
        <v>0.01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BRm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5</v>
      </c>
      <c r="I33" s="220" t="n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>12</v>
      </c>
      <c r="J33" s="203" t="n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>1</v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Rhynchostegium riparioides (Platyhypnidium rusciforme)</v>
      </c>
      <c r="L33" s="225"/>
      <c r="M33" s="225"/>
      <c r="N33" s="225"/>
      <c r="O33" s="226"/>
      <c r="P33" s="207" t="n">
        <f aca="false">IF(ISTEXT(H33),"",(B33*$B$7/100)+(C33*$C$7/100))</f>
        <v>0.01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12</v>
      </c>
      <c r="S33" s="208" t="n">
        <f aca="false">IF(ISERROR(Q33*I33*J33),0,Q33*I33*J33)</f>
        <v>12</v>
      </c>
      <c r="T33" s="223" t="n">
        <f aca="false">IF(ISERROR(Q33*J33),0,Q33*J33)</f>
        <v>1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RHY.RIP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253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83</v>
      </c>
      <c r="B34" s="215" t="n">
        <v>0.01</v>
      </c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Mentha aquatica</v>
      </c>
      <c r="E34" s="217" t="e">
        <f aca="false">IF(D34="",0,VLOOKUP(D34,D$22:D33,1,0))</f>
        <v>#N/A</v>
      </c>
      <c r="F34" s="227" t="n">
        <f aca="false">($B34*$B$7+$C34*$C$7)/100</f>
        <v>0.01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PHe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8</v>
      </c>
      <c r="I34" s="220" t="n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>12</v>
      </c>
      <c r="J34" s="203" t="n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>1</v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Mentha aquatica</v>
      </c>
      <c r="L34" s="225"/>
      <c r="M34" s="225"/>
      <c r="N34" s="225"/>
      <c r="O34" s="226"/>
      <c r="P34" s="207" t="n">
        <f aca="false">IF(ISTEXT(H34),"",(B34*$B$7/100)+(C34*$C$7/100))</f>
        <v>0.01</v>
      </c>
      <c r="Q34" s="208" t="n">
        <f aca="false">IF(OR(ISTEXT(H34),P34=0),"",IF(P34&lt;0.1,1,IF(P34&lt;1,2,IF(P34&lt;10,3,IF(P34&lt;50,4,IF(P34&gt;=50,5,""))))))</f>
        <v>1</v>
      </c>
      <c r="R34" s="208" t="n">
        <f aca="false">IF(ISERROR(Q34*I34),0,Q34*I34)</f>
        <v>12</v>
      </c>
      <c r="S34" s="208" t="n">
        <f aca="false">IF(ISERROR(Q34*I34*J34),0,Q34*I34*J34)</f>
        <v>12</v>
      </c>
      <c r="T34" s="223" t="n">
        <f aca="false">IF(ISERROR(Q34*J34),0,Q34*J34)</f>
        <v>1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MEN.AQU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613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 t="s">
        <v>84</v>
      </c>
      <c r="B35" s="215" t="n">
        <v>0.01</v>
      </c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Mentha longifolia</v>
      </c>
      <c r="E35" s="217" t="e">
        <f aca="false">IF(D35="",0,VLOOKUP(D35,D$22:D34,1,0))</f>
        <v>#N/A</v>
      </c>
      <c r="F35" s="227" t="n">
        <f aca="false">($B35*$B$7+$C35*$C$7)/100</f>
        <v>0.01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PHe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8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Mentha longifolia</v>
      </c>
      <c r="L35" s="222"/>
      <c r="M35" s="222"/>
      <c r="N35" s="222"/>
      <c r="O35" s="206"/>
      <c r="P35" s="207" t="n">
        <f aca="false">IF(ISTEXT(H35),"",(B35*$B$7/100)+(C35*$C$7/100))</f>
        <v>0.01</v>
      </c>
      <c r="Q35" s="208" t="n">
        <f aca="false">IF(OR(ISTEXT(H35),P35=0),"",IF(P35&lt;0.1,1,IF(P35&lt;1,2,IF(P35&lt;10,3,IF(P35&lt;50,4,IF(P35&gt;=50,5,""))))))</f>
        <v>1</v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MEN.LON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615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 t="s">
        <v>85</v>
      </c>
      <c r="B36" s="215" t="n">
        <v>0.01</v>
      </c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>Equisetum palustre</v>
      </c>
      <c r="E36" s="217" t="e">
        <f aca="false">IF(D36="",0,VLOOKUP(D36,D$22:D35,1,0))</f>
        <v>#N/A</v>
      </c>
      <c r="F36" s="227" t="n">
        <f aca="false">($B36*$B$7+$C36*$C$7)/100</f>
        <v>0.01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>PTE</v>
      </c>
      <c r="H36" s="201" t="n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6</v>
      </c>
      <c r="I36" s="220" t="n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>10</v>
      </c>
      <c r="J36" s="203" t="n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>1</v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>Equisetum palustre</v>
      </c>
      <c r="L36" s="222"/>
      <c r="M36" s="222"/>
      <c r="N36" s="222"/>
      <c r="O36" s="206"/>
      <c r="P36" s="207" t="n">
        <f aca="false">IF(ISTEXT(H36),"",(B36*$B$7/100)+(C36*$C$7/100))</f>
        <v>0.01</v>
      </c>
      <c r="Q36" s="208" t="n">
        <f aca="false">IF(OR(ISTEXT(H36),P36=0),"",IF(P36&lt;0.1,1,IF(P36&lt;1,2,IF(P36&lt;10,3,IF(P36&lt;50,4,IF(P36&gt;=50,5,""))))))</f>
        <v>1</v>
      </c>
      <c r="R36" s="208" t="n">
        <f aca="false">IF(ISERROR(Q36*I36),0,Q36*I36)</f>
        <v>10</v>
      </c>
      <c r="S36" s="208" t="n">
        <f aca="false">IF(ISERROR(Q36*I36*J36),0,Q36*I36*J36)</f>
        <v>10</v>
      </c>
      <c r="T36" s="223" t="n">
        <f aca="false">IF(ISERROR(Q36*J36),0,Q36*J36)</f>
        <v>1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>EQU.PAL</v>
      </c>
      <c r="Y36" s="9" t="n">
        <f aca="false">IF(ISERROR(MATCH(A36,'[1]liste reference'!$A$7:$A$906,0)),IF(ISERROR(MATCH(A36,'[1]liste reference'!$B$7:$B$906,0)),"",(MATCH(A36,'[1]liste reference'!$B$7:$B$906,0))),(MATCH(A36,'[1]liste reference'!$A$7:$A$906,0)))</f>
        <v>282</v>
      </c>
      <c r="Z36" s="212"/>
      <c r="AA36" s="213"/>
      <c r="BB36" s="9" t="n">
        <f aca="false">IF(A36="","",1)</f>
        <v>1</v>
      </c>
    </row>
    <row r="37" customFormat="false" ht="12.75" hidden="false" customHeight="false" outlineLevel="0" collapsed="false">
      <c r="A37" s="214" t="s">
        <v>86</v>
      </c>
      <c r="B37" s="215" t="n">
        <v>0.01</v>
      </c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>Scirpoides holoschoenus        </v>
      </c>
      <c r="E37" s="217" t="e">
        <f aca="false">IF(D37="",0,VLOOKUP(D37,D$22:D36,1,0))</f>
        <v>#N/A</v>
      </c>
      <c r="F37" s="227" t="n">
        <f aca="false">($B37*$B$7+$C37*$C$7)/100</f>
        <v>0.01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>PHe</v>
      </c>
      <c r="H37" s="201" t="n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8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>Scirpoides holoschoenus        </v>
      </c>
      <c r="L37" s="222"/>
      <c r="M37" s="222"/>
      <c r="N37" s="222"/>
      <c r="O37" s="206"/>
      <c r="P37" s="207" t="n">
        <f aca="false">IF(ISTEXT(H37),"",(B37*$B$7/100)+(C37*$C$7/100))</f>
        <v>0.01</v>
      </c>
      <c r="Q37" s="208" t="n">
        <f aca="false">IF(OR(ISTEXT(H37),P37=0),"",IF(P37&lt;0.1,1,IF(P37&lt;1,2,IF(P37&lt;10,3,IF(P37&lt;50,4,IF(P37&gt;=50,5,""))))))</f>
        <v>1</v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>SCP.HOL</v>
      </c>
      <c r="Y37" s="9" t="n">
        <f aca="false">IF(ISERROR(MATCH(A37,'[1]liste reference'!$A$7:$A$906,0)),IF(ISERROR(MATCH(A37,'[1]liste reference'!$B$7:$B$906,0)),"",(MATCH(A37,'[1]liste reference'!$B$7:$B$906,0))),(MATCH(A37,'[1]liste reference'!$A$7:$A$906,0)))</f>
        <v>668</v>
      </c>
      <c r="Z37" s="212"/>
      <c r="AA37" s="213"/>
      <c r="BB37" s="9" t="n">
        <f aca="false">IF(A37="","",1)</f>
        <v>1</v>
      </c>
    </row>
    <row r="38" customFormat="false" ht="12.75" hidden="false" customHeight="false" outlineLevel="0" collapsed="false">
      <c r="A38" s="214" t="s">
        <v>87</v>
      </c>
      <c r="B38" s="215" t="n">
        <v>0.01</v>
      </c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0.01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>    -</v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>Graminee</v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>NEW.COD</v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4" t="s">
        <v>88</v>
      </c>
      <c r="BB38" s="9" t="n">
        <f aca="false">IF(A38="","",1)</f>
        <v>1</v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89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Loup</v>
      </c>
      <c r="B84" s="247" t="str">
        <f aca="false">C3</f>
        <v>Courmes</v>
      </c>
      <c r="C84" s="248" t="n">
        <f aca="false">A4</f>
        <v>40022</v>
      </c>
      <c r="D84" s="249" t="n">
        <f aca="false">IF(ISERROR(SUM($S$23:$S$82)/SUM($T$23:$T$82)),"",SUM($S$23:$S$82)/SUM($T$23:$T$82))</f>
        <v>11.5</v>
      </c>
      <c r="E84" s="250" t="n">
        <f aca="false">N13</f>
        <v>16</v>
      </c>
      <c r="F84" s="247" t="n">
        <f aca="false">N14</f>
        <v>12</v>
      </c>
      <c r="G84" s="247" t="n">
        <f aca="false">N15</f>
        <v>8</v>
      </c>
      <c r="H84" s="247" t="n">
        <f aca="false">N16</f>
        <v>4</v>
      </c>
      <c r="I84" s="247" t="n">
        <f aca="false">N17</f>
        <v>0</v>
      </c>
      <c r="J84" s="251" t="n">
        <f aca="false">N8</f>
        <v>11</v>
      </c>
      <c r="K84" s="249" t="n">
        <f aca="false">N9</f>
        <v>3.41121146168977</v>
      </c>
      <c r="L84" s="250" t="n">
        <f aca="false">N10</f>
        <v>4</v>
      </c>
      <c r="M84" s="250" t="n">
        <f aca="false">N11</f>
        <v>15</v>
      </c>
      <c r="N84" s="249" t="n">
        <f aca="false">O8</f>
        <v>1.33333333333333</v>
      </c>
      <c r="O84" s="249" t="n">
        <f aca="false">O9</f>
        <v>0.492365963917331</v>
      </c>
      <c r="P84" s="250" t="n">
        <f aca="false">O10</f>
        <v>1</v>
      </c>
      <c r="Q84" s="250" t="n">
        <f aca="false">O11</f>
        <v>2</v>
      </c>
      <c r="R84" s="252" t="n">
        <f aca="false">F21</f>
        <v>8.03</v>
      </c>
      <c r="S84" s="250" t="n">
        <f aca="false">K11</f>
        <v>0</v>
      </c>
      <c r="T84" s="250" t="n">
        <f aca="false">K12</f>
        <v>6</v>
      </c>
      <c r="U84" s="250" t="n">
        <f aca="false">K13</f>
        <v>5</v>
      </c>
      <c r="V84" s="253" t="n">
        <f aca="false">K14</f>
        <v>1</v>
      </c>
      <c r="W84" s="254" t="n">
        <f aca="false">K15</f>
        <v>3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90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91</v>
      </c>
      <c r="Q87" s="9"/>
      <c r="R87" s="209" t="n">
        <f aca="false">VLOOKUP(MAX($R$23:$R$82),($R$23:$T$82),1,0)</f>
        <v>33</v>
      </c>
      <c r="S87" s="9"/>
      <c r="T87" s="9"/>
      <c r="U87" s="9"/>
    </row>
    <row r="88" customFormat="false" ht="12.75" hidden="true" customHeight="false" outlineLevel="0" collapsed="false">
      <c r="P88" s="9" t="s">
        <v>92</v>
      </c>
      <c r="Q88" s="9"/>
      <c r="R88" s="209" t="n">
        <f aca="false">VLOOKUP((R87),($R$23:$T$82),2,0)</f>
        <v>33</v>
      </c>
      <c r="S88" s="9"/>
      <c r="T88" s="9"/>
      <c r="U88" s="9"/>
    </row>
    <row r="89" customFormat="false" ht="12.75" hidden="true" customHeight="false" outlineLevel="0" collapsed="false">
      <c r="P89" s="9" t="s">
        <v>93</v>
      </c>
      <c r="Q89" s="9"/>
      <c r="R89" s="209" t="n">
        <f aca="false">VLOOKUP((R87),($R$23:$T$82),3,0)</f>
        <v>3</v>
      </c>
      <c r="S89" s="9"/>
    </row>
    <row r="90" customFormat="false" ht="12.75" hidden="true" customHeight="false" outlineLevel="0" collapsed="false">
      <c r="P90" s="9" t="s">
        <v>94</v>
      </c>
      <c r="Q90" s="9"/>
      <c r="R90" s="257" t="n">
        <f aca="false">IF(ISERROR(SUM($S$23:$S$82)/SUM($T$23:$T$82)),"",(SUM($S$23:$S$82)-R88)/(SUM($T$23:$T$82)-R89))</f>
        <v>11.5789473684211</v>
      </c>
      <c r="S90" s="9"/>
    </row>
    <row r="91" customFormat="false" ht="12.75" hidden="true" customHeight="false" outlineLevel="0" collapsed="false">
      <c r="P91" s="208" t="s">
        <v>95</v>
      </c>
      <c r="Q91" s="208"/>
      <c r="R91" s="208" t="str">
        <f aca="false">INDEX('[1]liste reference'!$A$7:$A$906,$S$91)</f>
        <v>OSC.SPX</v>
      </c>
      <c r="S91" s="9" t="n">
        <f aca="false">IF(ISERROR(MATCH($R$93,'[1]liste reference'!$A$7:$A$906,0)),MATCH($R$93,'[1]liste reference'!$B$7:$B$906,0),(MATCH($R$93,'[1]liste reference'!$A$7:$A$906,0)))</f>
        <v>57</v>
      </c>
      <c r="T91" s="245"/>
    </row>
    <row r="92" customFormat="false" ht="12.75" hidden="true" customHeight="false" outlineLevel="0" collapsed="false">
      <c r="P92" s="9" t="s">
        <v>96</v>
      </c>
      <c r="Q92" s="9"/>
      <c r="R92" s="9" t="n">
        <f aca="false">MATCH(R87,$R$23:$R$82,0)</f>
        <v>1</v>
      </c>
      <c r="S92" s="9"/>
    </row>
    <row r="93" customFormat="false" ht="12.75" hidden="true" customHeight="false" outlineLevel="0" collapsed="false">
      <c r="P93" s="208" t="s">
        <v>97</v>
      </c>
      <c r="Q93" s="9"/>
      <c r="R93" s="208" t="str">
        <f aca="false">INDEX($A$23:$A$82,$R$92)</f>
        <v>OSC.SPX</v>
      </c>
      <c r="S93" s="9"/>
    </row>
    <row r="94" customFormat="false" ht="12.75" hidden="false" customHeight="false" outlineLevel="0" collapsed="false">
      <c r="R94" s="245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 AA38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2013-10-22T15:24:20Z</dcterms:created>
  <dc:creator>elise.carnet</dc:creator>
  <dc:description/>
  <dc:language>fr-FR</dc:language>
  <cp:lastModifiedBy>elise.carnet</cp:lastModifiedBy>
  <dcterms:modified xsi:type="dcterms:W3CDTF">2013-10-23T15:52:41Z</dcterms:modified>
  <cp:revision>0</cp:revision>
  <dc:subject/>
  <dc:title/>
</cp:coreProperties>
</file>