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00125" sheetId="6" state="visible" r:id="rId8"/>
    <sheet name="jgjg" sheetId="7" state="hidden" r:id="rId9"/>
    <sheet name="liste codes réf" sheetId="8" state="hidden" r:id="rId10"/>
  </sheets>
  <definedNames>
    <definedName function="false" hidden="false" localSheetId="5" name="_xlnm.Print_Area" vbProcedure="false">'06700125'!$A$1:$Q$82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'06700125'!$A$1:$Q$82</definedName>
    <definedName function="false" hidden="false" localSheetId="5" name="_xlnm__FilterDatabase" vbProcedure="false">'06700125'!$A$1:$C$1415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<sst xmlns="http://schemas.openxmlformats.org/spreadsheetml/2006/main" count="8846" uniqueCount="3497">
  <si>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</si>
  <si>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</si>
  <si>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</si>
  <si>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</si>
  <si>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</si>
  <si>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</si>
  <si>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</si>
  <si>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</si>
  <si>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</si>
  <si>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</si>
  <si>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</si>
  <si>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</si>
  <si>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</si>
  <si>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</si>
  <si>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</si>
  <si>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</si>
  <si>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</si>
  <si>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</si>
  <si>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</si>
  <si>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</si>
  <si>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</si>
  <si>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</si>
  <si>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</si>
  <si>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</si>
  <si>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</si>
  <si>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</si>
  <si>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</si>
  <si>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</si>
  <si>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</si>
  <si>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</si>
  <si>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</si>
  <si>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</si>
  <si>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</si>
  <si>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</si>
  <si>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</si>
  <si>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</si>
  <si>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</si>
  <si>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</si>
  <si>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</si>
  <si>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</si>
  <si>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</si>
  <si>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</si>
  <si>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</si>
  <si>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</si>
  <si>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</si>
  <si>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</si>
  <si>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</si>
  <si>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</si>
  <si>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</si>
  <si>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</si>
  <si>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</si>
  <si>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</si>
  <si>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</si>
  <si>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</si>
  <si>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</si>
  <si>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</si>
  <si>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</si>
  <si>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</si>
  <si>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</si>
  <si>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</si>
  <si>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</si>
  <si>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</si>
  <si>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</si>
  <si>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</si>
  <si>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</si>
  <si>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</si>
  <si>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</si>
  <si>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</si>
  <si>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</si>
  <si>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</si>
  <si>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</si>
  <si>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</si>
  <si>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</si>
  <si>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</si>
  <si>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</si>
  <si>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</si>
  <si>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</si>
  <si>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</si>
  <si>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</si>
  <si>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</si>
  <si>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</si>
  <si>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</si>
  <si>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</si>
  <si>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</si>
  <si>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</si>
  <si>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</si>
  <si>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</si>
  <si>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</si>
  <si>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</si>
  <si>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</si>
  <si>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</si>
  <si>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</si>
  <si>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</si>
  <si>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</si>
  <si>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</si>
  <si>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</si>
  <si>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</si>
  <si>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</si>
  <si>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</si>
  <si>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</si>
  <si>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</si>
  <si>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</si>
  <si>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</si>
  <si>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</si>
  <si>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</si>
  <si>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</si>
  <si>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</si>
  <si>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</si>
  <si>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</si>
  <si>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</si>
  <si>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</si>
  <si>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</si>
  <si>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</si>
  <si>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</si>
  <si>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</si>
  <si>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</si>
  <si>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</si>
  <si>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</si>
  <si>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</si>
  <si>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</si>
  <si>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</si>
  <si>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</si>
  <si>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</si>
  <si>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</si>
  <si>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</si>
  <si>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</si>
  <si>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</si>
  <si>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</si>
  <si>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</si>
  <si>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</si>
  <si>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</si>
  <si>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</si>
  <si>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</si>
  <si>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</si>
  <si>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</si>
  <si>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</si>
  <si>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</si>
  <si>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</si>
  <si>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</si>
  <si>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</si>
  <si>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</si>
  <si>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</si>
  <si>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</si>
  <si>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</si>
  <si>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</si>
  <si>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</si>
  <si>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</si>
  <si>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</si>
  <si>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</si>
  <si>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</si>
  <si>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</si>
  <si>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</si>
  <si>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</si>
  <si>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</si>
  <si>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</si>
  <si>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</si>
  <si>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</si>
  <si>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</si>
  <si>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</si>
  <si>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</si>
  <si>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</si>
  <si>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</si>
  <si>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</si>
  <si>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</si>
  <si>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</si>
  <si>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</si>
  <si>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</si>
  <si>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</si>
  <si>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</si>
  <si>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</si>
  <si>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</si>
  <si>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</si>
  <si>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</si>
  <si>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</si>
  <si>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</si>
  <si>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</si>
  <si>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</si>
  <si>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</si>
  <si>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</si>
  <si>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</si>
  <si>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</si>
  <si>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</si>
  <si>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</si>
  <si>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</si>
  <si>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</si>
  <si>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</si>
  <si>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</si>
  <si>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</si>
  <si>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</si>
  <si>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</si>
  <si>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</si>
  <si>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</si>
  <si>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</si>
  <si>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</si>
  <si>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</si>
  <si>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</si>
  <si>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</si>
  <si>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</si>
  <si>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</si>
  <si>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</si>
  <si>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</si>
  <si>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</si>
  <si>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</si>
  <si>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</si>
  <si>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</si>
  <si>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</si>
  <si>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</si>
  <si>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</si>
  <si>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</si>
  <si>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</si>
  <si>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</si>
  <si>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</si>
  <si>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</si>
  <si>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</si>
  <si>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</si>
  <si>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</si>
  <si>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</si>
  <si>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</si>
  <si>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</si>
  <si>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</si>
  <si>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</si>
  <si>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</si>
  <si>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</si>
  <si>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</si>
  <si>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</si>
  <si>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</si>
  <si>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</si>
  <si>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</si>
  <si>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</si>
  <si>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</si>
  <si>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</si>
  <si>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</si>
  <si>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</si>
  <si>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</si>
  <si>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</si>
  <si>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</si>
  <si>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</si>
  <si>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</si>
  <si>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</si>
  <si>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</si>
  <si>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</si>
  <si>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</si>
  <si>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</si>
  <si>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</si>
  <si>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</si>
  <si>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</si>
  <si>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</si>
  <si>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</si>
  <si>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</si>
  <si>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</si>
  <si>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</si>
  <si>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</si>
  <si>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</si>
  <si>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</si>
  <si>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</si>
  <si>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</si>
  <si>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</si>
  <si>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</si>
  <si>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</si>
  <si>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</si>
  <si>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</si>
  <si>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</si>
  <si>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</si>
  <si>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</si>
  <si>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</si>
  <si>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</si>
  <si>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</si>
  <si>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</si>
  <si>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</si>
  <si>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</si>
  <si>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</si>
  <si>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</si>
  <si>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</si>
  <si>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</si>
  <si>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</si>
  <si>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</si>
  <si>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</si>
  <si>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</si>
  <si>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</si>
  <si>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</si>
  <si>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</si>
  <si>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</si>
  <si>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</si>
  <si>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</si>
  <si>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</si>
  <si>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</si>
  <si>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</si>
  <si>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</si>
  <si>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</si>
  <si>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</si>
  <si>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</si>
  <si>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</si>
  <si>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</si>
  <si>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</si>
  <si>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</si>
  <si>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</si>
  <si>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</si>
  <si>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</si>
  <si>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</si>
  <si>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</si>
  <si>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</si>
  <si>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</si>
  <si>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</si>
  <si>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</si>
  <si>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</si>
  <si>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</si>
  <si>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</si>
  <si>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</si>
  <si>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</si>
  <si>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</si>
  <si>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</si>
  <si>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</si>
  <si>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</si>
  <si>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</si>
  <si>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</si>
  <si>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</si>
  <si>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</si>
  <si>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</si>
  <si>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</si>
  <si>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</si>
  <si>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</si>
  <si>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</si>
  <si>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</si>
  <si>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</si>
  <si>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</si>
  <si>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</si>
  <si>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</si>
  <si>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</si>
  <si>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</si>
  <si>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</si>
  <si>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</si>
  <si>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</si>
  <si>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</si>
  <si>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</si>
  <si>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</si>
  <si>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</si>
  <si>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</si>
  <si>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</si>
  <si>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</si>
  <si>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</si>
  <si>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</si>
  <si>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</si>
  <si>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</si>
  <si>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</si>
  <si>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</si>
  <si>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</si>
  <si>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</si>
  <si>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</si>
  <si>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</si>
  <si>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</si>
  <si>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</si>
  <si>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</si>
  <si>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</si>
  <si>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</si>
  <si>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</si>
  <si>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</si>
  <si>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</si>
  <si>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</si>
  <si>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</si>
  <si>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</si>
  <si>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</si>
  <si>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</si>
  <si>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</si>
  <si>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</si>
  <si>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</si>
  <si>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</si>
  <si>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</si>
  <si>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</si>
  <si>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</si>
  <si>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</si>
  <si>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</si>
  <si>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</si>
  <si>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</si>
  <si>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</si>
  <si>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</si>
  <si>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</si>
  <si>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</si>
  <si>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</si>
  <si>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</si>
  <si>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</si>
  <si>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</si>
  <si>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</si>
  <si>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</si>
  <si>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</si>
  <si>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</si>
  <si>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</si>
  <si>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</si>
  <si>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</si>
  <si>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</si>
  <si>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</si>
  <si>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</si>
  <si>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</si>
  <si>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</si>
  <si>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</si>
  <si>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</si>
  <si>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</si>
  <si>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</si>
  <si>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</si>
  <si>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</si>
  <si>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</si>
  <si>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</si>
  <si>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</si>
  <si>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</si>
  <si>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</si>
  <si>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</si>
  <si>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</si>
  <si>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</si>
  <si>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</si>
  <si>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</si>
  <si>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</si>
  <si>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</si>
  <si>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</si>
  <si>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</si>
  <si>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</si>
  <si>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</si>
  <si>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</si>
  <si>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</si>
  <si>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</si>
  <si>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</si>
  <si>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</si>
  <si>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</si>
  <si>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</si>
  <si>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</si>
  <si>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</si>
  <si>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</si>
  <si>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</si>
  <si>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</si>
  <si>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</si>
  <si>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</si>
  <si>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</si>
  <si>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</si>
  <si>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</si>
  <si>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</si>
  <si>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</si>
  <si>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</si>
  <si>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</si>
  <si>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</si>
  <si>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</si>
  <si>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</si>
  <si>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</si>
  <si>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</si>
  <si>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</si>
  <si>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</si>
  <si>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</si>
  <si>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</si>
  <si>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</si>
  <si>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</si>
  <si>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</si>
  <si>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</si>
  <si>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</si>
  <si>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</si>
  <si>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</si>
  <si>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</si>
  <si>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</si>
  <si>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</si>
  <si>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</si>
  <si>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</si>
  <si>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</si>
  <si>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</si>
  <si>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</si>
  <si>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</si>
  <si>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</si>
  <si>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</si>
  <si>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</si>
  <si>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</si>
  <si>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</si>
  <si>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</si>
  <si>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</si>
  <si>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</si>
  <si>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</si>
  <si>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</si>
  <si>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</si>
  <si>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</si>
  <si>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</si>
  <si>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</si>
  <si>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</si>
  <si>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</si>
  <si>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</si>
  <si>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</si>
  <si>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</si>
  <si>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</si>
  <si>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</si>
  <si>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</si>
  <si>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</si>
  <si>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</si>
  <si>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</si>
  <si>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</si>
  <si>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</si>
  <si>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</si>
  <si>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</si>
  <si>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</si>
  <si>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</si>
  <si>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</si>
  <si>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</si>
  <si>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</si>
  <si>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</si>
  <si>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</si>
  <si>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</si>
  <si>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</si>
  <si>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</si>
  <si>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</si>
  <si>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</si>
  <si>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</si>
  <si>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</si>
  <si>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</si>
  <si>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</si>
  <si>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</si>
  <si>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</si>
  <si>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</si>
  <si>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</si>
  <si>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</si>
  <si>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</si>
  <si>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</si>
  <si>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</si>
  <si>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</si>
  <si>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</si>
  <si>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</si>
  <si>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</si>
  <si>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</si>
  <si>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</si>
  <si>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</si>
  <si>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</si>
  <si>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</si>
  <si>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</si>
  <si>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</si>
  <si>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</si>
  <si>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</si>
  <si>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</si>
  <si>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</si>
  <si>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</si>
  <si>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</si>
  <si>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</si>
  <si>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</si>
  <si>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</si>
  <si>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</si>
  <si>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</si>
  <si>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</si>
  <si>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</si>
  <si>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</si>
  <si>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</si>
  <si>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</si>
  <si>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</si>
  <si>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</si>
  <si>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</si>
  <si>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</si>
  <si>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</si>
  <si>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</si>
  <si>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</si>
  <si>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</si>
  <si>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</si>
  <si>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</si>
  <si>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</si>
  <si>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</si>
  <si>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</si>
  <si>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</si>
  <si>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</si>
  <si>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</si>
  <si>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</si>
  <si>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</si>
  <si>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</si>
  <si>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</si>
  <si>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</si>
  <si>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</si>
  <si>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</si>
  <si>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</si>
  <si>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</si>
  <si>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</si>
  <si>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</si>
  <si>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</si>
  <si>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</si>
  <si>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</si>
  <si>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</si>
  <si>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</si>
  <si>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</si>
  <si>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</si>
  <si>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</si>
  <si>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</si>
  <si>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</si>
  <si>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</si>
  <si>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</si>
  <si>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</si>
  <si>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</si>
  <si>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</si>
  <si>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</si>
  <si>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</si>
  <si>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</si>
  <si>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</si>
  <si>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</si>
  <si>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</si>
  <si>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</si>
  <si>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</si>
  <si>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</si>
  <si>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</si>
  <si>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</si>
  <si>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</si>
  <si>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</si>
  <si>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</si>
  <si>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</si>
  <si>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</si>
  <si>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</si>
  <si>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</si>
  <si>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</si>
  <si>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</si>
  <si>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</si>
  <si>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</si>
  <si>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</si>
  <si>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</si>
  <si>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</si>
  <si>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</si>
  <si>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</si>
  <si>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</si>
  <si>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</si>
  <si>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</si>
  <si>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</si>
  <si>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</si>
  <si>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</si>
  <si>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</si>
  <si>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</si>
  <si>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</si>
  <si>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</si>
  <si>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</si>
  <si>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</si>
  <si>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</si>
  <si>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</si>
  <si>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</si>
  <si>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</si>
  <si>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</si>
  <si>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</si>
  <si>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</si>
  <si>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</si>
  <si>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</si>
  <si>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</si>
  <si>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</si>
  <si>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</si>
  <si>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</si>
  <si>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</si>
  <si>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</si>
  <si>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</si>
  <si>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</si>
  <si>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</si>
  <si>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</si>
  <si>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</si>
  <si>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</si>
  <si>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</si>
  <si>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</si>
  <si>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</si>
  <si>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</si>
  <si>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</si>
  <si>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</si>
  <si>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</si>
  <si>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</si>
  <si>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</si>
  <si>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</si>
  <si>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</si>
  <si>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</si>
  <si>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</si>
  <si>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</si>
  <si>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</si>
  <si>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</si>
  <si>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</si>
  <si>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</si>
  <si>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</si>
  <si>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</si>
  <si>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</si>
  <si>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</si>
  <si>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</si>
  <si>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</si>
  <si>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</si>
  <si>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</si>
  <si>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</si>
  <si>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</si>
  <si>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</si>
  <si>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</si>
  <si>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</si>
  <si>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</si>
  <si>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</si>
  <si>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</si>
  <si>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</si>
  <si>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</si>
  <si>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</si>
  <si>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</si>
  <si>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</si>
  <si>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</si>
  <si>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</si>
  <si>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</si>
  <si>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</si>
  <si>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</si>
  <si>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</si>
  <si>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</si>
  <si>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</si>
  <si>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</si>
  <si>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</si>
  <si>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</si>
  <si>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</si>
  <si>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</si>
  <si>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</si>
  <si>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</si>
  <si>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</si>
  <si>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</si>
  <si>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</si>
  <si>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</si>
  <si>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</si>
  <si>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</si>
  <si>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</si>
  <si>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</si>
  <si>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</si>
  <si>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</si>
  <si>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</si>
  <si>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</si>
  <si>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</si>
  <si>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</si>
  <si>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</si>
  <si>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</si>
  <si>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</si>
  <si>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</si>
  <si>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</si>
  <si>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</si>
  <si>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</si>
  <si>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</si>
  <si>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</si>
  <si>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</si>
  <si>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</si>
  <si>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</si>
  <si>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</si>
  <si>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</si>
  <si>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</si>
  <si>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</si>
  <si>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</si>
  <si>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</si>
  <si>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</si>
  <si>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</si>
  <si>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</si>
  <si>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</si>
  <si>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</si>
  <si>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</si>
  <si>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</si>
  <si>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</si>
  <si>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</si>
  <si>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</si>
  <si>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</si>
  <si>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</si>
  <si>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</si>
  <si>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</si>
  <si>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</si>
  <si>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</si>
  <si>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</si>
  <si>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</si>
  <si>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</si>
  <si>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</si>
  <si>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</si>
  <si>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</si>
  <si>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</si>
  <si>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</si>
  <si>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</si>
  <si>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</si>
  <si>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</si>
  <si>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</si>
  <si>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</si>
  <si>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</si>
  <si>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</si>
  <si>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</si>
  <si>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</si>
  <si>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</si>
  <si>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</si>
  <si>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</si>
  <si>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</si>
  <si>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</si>
  <si>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</si>
  <si>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</si>
  <si>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</si>
  <si>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</si>
  <si>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</si>
  <si>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</si>
  <si>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</si>
  <si>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</si>
  <si>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</si>
  <si>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</si>
  <si>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</si>
  <si>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</si>
  <si>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</si>
  <si>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</si>
  <si>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</si>
  <si>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</si>
  <si>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</si>
  <si>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</si>
  <si>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</si>
  <si>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</si>
  <si>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</si>
  <si>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</si>
  <si>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</si>
  <si>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</si>
  <si>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</si>
  <si>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</si>
  <si>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</si>
  <si>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</si>
  <si>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</si>
  <si>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</si>
  <si>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</si>
  <si>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</si>
  <si>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</si>
  <si>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</si>
  <si>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</si>
  <si>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</si>
  <si>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</si>
  <si>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</si>
  <si>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</si>
  <si>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</si>
  <si>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</si>
  <si>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</si>
  <si>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</si>
  <si>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</si>
  <si>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</si>
  <si>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</si>
  <si>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</si>
  <si>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</si>
  <si>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</si>
  <si>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</si>
  <si>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</si>
  <si>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</si>
  <si>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</si>
  <si>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</si>
  <si>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</si>
  <si>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</si>
  <si>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</si>
  <si>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</si>
  <si>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</si>
  <si>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</si>
  <si>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</si>
  <si>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</si>
  <si>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</si>
  <si>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</si>
  <si>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</si>
  <si>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</si>
  <si>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</si>
  <si>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</si>
  <si>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</si>
  <si>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</si>
  <si>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</si>
  <si>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</si>
  <si>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</si>
  <si>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</si>
  <si>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</si>
  <si>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</si>
  <si>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</si>
  <si>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</si>
  <si>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</si>
  <si>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</si>
  <si>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</si>
  <si>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</si>
  <si>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</si>
  <si>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</si>
  <si>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</si>
  <si>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</si>
  <si>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</si>
  <si>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</si>
  <si>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</si>
  <si>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</si>
  <si>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</si>
  <si>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</si>
  <si>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</si>
  <si>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</si>
  <si>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</si>
  <si>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</si>
  <si>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</si>
  <si>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</si>
  <si>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</si>
  <si>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</si>
  <si>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</si>
  <si>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</si>
  <si>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</si>
  <si>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</si>
  <si>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</si>
  <si>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</si>
  <si>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</si>
  <si>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</si>
  <si>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</si>
  <si>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</si>
  <si>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</si>
  <si>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</si>
  <si>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</si>
  <si>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</si>
  <si>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</si>
  <si>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</si>
  <si>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</si>
  <si>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</si>
  <si>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</si>
  <si>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</si>
  <si>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</si>
  <si>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</si>
  <si>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</si>
  <si>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</si>
  <si>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</si>
  <si>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</si>
  <si>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</si>
  <si>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</si>
  <si>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</si>
  <si>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</si>
  <si>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</si>
  <si>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</si>
  <si>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</si>
  <si>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</si>
  <si>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</si>
  <si>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</si>
  <si>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</si>
  <si>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</si>
  <si>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</si>
  <si>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</si>
  <si>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</si>
  <si>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</si>
  <si>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</si>
  <si>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</si>
  <si>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</si>
  <si>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</si>
  <si>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</si>
  <si>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</si>
  <si>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</si>
  <si>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</si>
  <si>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</si>
  <si>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</si>
  <si>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</si>
  <si>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</si>
  <si>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</si>
  <si>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</si>
  <si>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</si>
  <si>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</si>
  <si>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</si>
  <si>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</si>
  <si>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</si>
  <si>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</si>
  <si>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</si>
  <si>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</si>
  <si>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</si>
  <si>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</si>
  <si>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</si>
  <si>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</si>
  <si>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</si>
  <si>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</si>
  <si>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</si>
  <si>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</si>
  <si>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</si>
  <si>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</si>
  <si>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</si>
  <si>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</si>
  <si>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</si>
  <si>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</si>
  <si>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</si>
  <si>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</si>
  <si>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</si>
  <si>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</si>
  <si>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</si>
  <si>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</si>
  <si>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</si>
  <si>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</si>
  <si>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</si>
  <si>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</si>
  <si>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</si>
  <si>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</si>
  <si>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</si>
  <si>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</si>
  <si>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</si>
  <si>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</si>
  <si>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</si>
  <si>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</si>
  <si>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</si>
  <si>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</si>
  <si>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</si>
  <si>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</si>
  <si>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</si>
  <si>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</si>
  <si>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</si>
  <si>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</si>
  <si>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</si>
  <si>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</si>
  <si>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</si>
  <si>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</si>
  <si>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</si>
  <si>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</si>
  <si>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</si>
  <si>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</si>
  <si>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</si>
  <si>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</si>
  <si>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</si>
  <si>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</si>
  <si>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</si>
  <si>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</si>
  <si>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</si>
  <si>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</si>
  <si>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</si>
  <si>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</si>
  <si>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</si>
  <si>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</si>
  <si>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</si>
  <si>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</si>
  <si>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</si>
  <si>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</si>
  <si>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</si>
  <si>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</si>
  <si>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</si>
  <si>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</si>
  <si>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</si>
  <si>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</si>
  <si>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</si>
  <si>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</si>
  <si>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</si>
  <si>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</si>
  <si>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</si>
  <si>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</si>
  <si>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</si>
  <si>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</si>
  <si>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</si>
  <si>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</si>
  <si>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</si>
  <si>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</si>
  <si>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</si>
  <si>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</si>
  <si>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</si>
  <si>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</si>
  <si>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</si>
  <si>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</si>
  <si>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</si>
  <si>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</si>
  <si>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</si>
  <si>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</si>
  <si>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</si>
  <si>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</si>
  <si>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</si>
  <si>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</si>
  <si>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</si>
  <si>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</si>
  <si>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</si>
  <si>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</si>
  <si>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</si>
  <si>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</si>
  <si>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</si>
  <si>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</si>
  <si>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</si>
  <si>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</si>
  <si>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</si>
  <si>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</si>
  <si>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</si>
  <si>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</si>
  <si>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</si>
  <si>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</si>
  <si>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</si>
  <si>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</si>
  <si>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</si>
  <si>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</si>
  <si>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</si>
  <si>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</si>
  <si>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</si>
  <si>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</si>
  <si>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</si>
  <si>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</si>
  <si>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</si>
  <si>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</si>
  <si>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</si>
  <si>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</si>
  <si>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</si>
  <si>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</si>
  <si>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</si>
  <si>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</si>
  <si>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</si>
  <si>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</si>
  <si>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</si>
  <si>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</si>
  <si>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</si>
  <si>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</si>
  <si>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</si>
  <si>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</si>
  <si>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</si>
  <si>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</si>
  <si>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</si>
  <si>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</si>
  <si>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</si>
  <si>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</si>
  <si>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</si>
  <si>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</si>
  <si>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</si>
  <si>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</si>
  <si>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</si>
  <si>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</si>
  <si>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</si>
  <si>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</si>
  <si>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</si>
  <si>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</si>
  <si>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</si>
  <si>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</si>
  <si>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</si>
  <si>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</si>
  <si>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</si>
  <si>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</si>
  <si>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</si>
  <si>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</si>
  <si>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</si>
  <si>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</si>
  <si>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</si>
  <si>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</si>
  <si>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</si>
  <si>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</si>
  <si>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</si>
  <si>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</si>
  <si>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</si>
  <si>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</si>
  <si>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</si>
  <si>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</si>
  <si>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</si>
  <si>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</si>
  <si>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</si>
  <si>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</si>
  <si>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</si>
  <si>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</si>
  <si>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</si>
  <si>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</si>
  <si>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</si>
  <si>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</si>
  <si>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</si>
  <si>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</si>
  <si>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</si>
  <si>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</si>
  <si>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</si>
  <si>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</si>
  <si>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</si>
  <si>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</si>
  <si>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</si>
  <si>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</si>
  <si>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</si>
  <si>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</si>
  <si>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</si>
  <si>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</si>
  <si>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</si>
  <si>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</si>
  <si>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</si>
  <si>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</si>
  <si>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</si>
  <si>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</si>
  <si>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</si>
  <si>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</si>
  <si>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</si>
  <si>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</si>
  <si>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</si>
  <si>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</si>
  <si>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</si>
  <si>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</si>
  <si>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</si>
  <si>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</si>
  <si>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</si>
  <si>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</si>
  <si>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</si>
  <si>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</si>
  <si>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</si>
  <si>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</si>
  <si>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</si>
  <si>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</si>
  <si>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</si>
  <si>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</si>
  <si>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</si>
  <si>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</si>
  <si>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</si>
  <si>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</si>
  <si>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</si>
  <si>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</si>
  <si>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</si>
  <si>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</si>
  <si>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</si>
  <si>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</si>
  <si>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</si>
  <si>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</si>
  <si>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</si>
  <si>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</si>
  <si>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</si>
  <si>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</si>
  <si>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</si>
  <si>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</si>
  <si>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</si>
  <si>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</si>
  <si>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</si>
  <si>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</si>
  <si>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</si>
  <si>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</si>
  <si>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</si>
  <si>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</si>
  <si>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</si>
  <si>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</si>
  <si>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</si>
  <si>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</si>
  <si>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</si>
  <si>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</si>
  <si>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</si>
  <si>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</si>
  <si>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</si>
  <si>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</si>
  <si>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</si>
  <si>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</si>
  <si>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</si>
  <si>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</si>
  <si>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</si>
  <si>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</si>
  <si>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</si>
  <si>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</si>
  <si>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</si>
  <si>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</si>
  <si>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</si>
  <si>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</si>
  <si>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</si>
  <si>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</si>
  <si>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</si>
  <si>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</si>
  <si>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</si>
  <si>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</si>
  <si>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</si>
  <si>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</si>
  <si>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</si>
  <si>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</si>
  <si>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</si>
  <si>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</si>
  <si>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</si>
  <si>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</si>
  <si>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</si>
  <si>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</si>
  <si>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</si>
  <si>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</si>
  <si>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</si>
  <si>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</si>
  <si>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</si>
  <si>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</si>
  <si>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</si>
  <si>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</si>
  <si>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</si>
  <si>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</si>
  <si>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</si>
  <si>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</si>
  <si>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</si>
  <si>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</si>
  <si>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</si>
  <si>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</si>
  <si>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</si>
  <si>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</si>
  <si>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</si>
  <si>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</si>
  <si>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</si>
  <si>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</si>
  <si>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</si>
  <si>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</si>
  <si>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</si>
  <si>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</si>
  <si>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</si>
  <si>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</si>
  <si>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</si>
  <si>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</si>
  <si>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</si>
  <si>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</si>
  <si>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</si>
  <si>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</si>
  <si>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</si>
  <si>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</si>
  <si>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</si>
  <si>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</si>
  <si>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</si>
  <si>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</si>
  <si>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</si>
  <si>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</si>
  <si>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</si>
  <si>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</si>
  <si>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</si>
  <si>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</si>
  <si>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</si>
  <si>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</si>
  <si>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</si>
  <si>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</si>
  <si>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</si>
  <si>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</si>
  <si>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</si>
  <si>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</si>
  <si>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</si>
  <si>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</si>
  <si>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</si>
  <si>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</si>
  <si>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</si>
  <si>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</si>
  <si>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</si>
  <si>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</si>
  <si>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</si>
  <si>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</si>
  <si>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</si>
  <si>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</si>
  <si>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</si>
  <si>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</si>
  <si>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</si>
  <si>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</si>
  <si>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</si>
  <si>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</si>
  <si>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</si>
  <si>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</si>
  <si>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</si>
  <si>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</si>
  <si>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</si>
  <si>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</si>
  <si>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</si>
  <si>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</si>
  <si>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</si>
  <si>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</si>
  <si>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</si>
  <si>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</si>
  <si>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</si>
  <si>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</si>
  <si>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</si>
  <si>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</si>
  <si>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</si>
  <si>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</si>
  <si>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</si>
  <si>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</si>
  <si>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</si>
  <si>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</si>
  <si>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</si>
  <si>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</si>
  <si>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</si>
  <si>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</si>
  <si>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</si>
  <si>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</si>
  <si>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</si>
  <si>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</si>
  <si>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</si>
  <si>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</si>
  <si>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</si>
  <si>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</si>
  <si>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</si>
  <si>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</si>
  <si>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</si>
  <si>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</si>
  <si>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</si>
  <si>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</si>
  <si>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</si>
  <si>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</si>
  <si>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</si>
  <si>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</si>
  <si>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</si>
  <si>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</si>
  <si>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</si>
  <si>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</si>
  <si>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</si>
  <si>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</si>
  <si>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</si>
  <si>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</si>
  <si>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</si>
  <si>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</si>
  <si>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</si>
  <si>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</si>
  <si>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</si>
  <si>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</si>
  <si>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</si>
  <si>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</si>
  <si>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</si>
  <si>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</si>
  <si>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</si>
  <si>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</si>
  <si>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</si>
  <si>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</si>
  <si>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</si>
  <si>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</si>
  <si>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</si>
  <si>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</si>
  <si>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</si>
  <si>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</si>
  <si>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</si>
  <si>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</si>
  <si>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</si>
  <si>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</si>
  <si>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</si>
  <si>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</si>
  <si>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</si>
  <si>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</si>
  <si>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</si>
  <si>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</si>
  <si>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</si>
  <si>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</si>
  <si>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</si>
  <si>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</si>
  <si>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</si>
  <si>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</si>
  <si>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</si>
  <si>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</si>
  <si>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</si>
  <si>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</si>
  <si>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</si>
  <si>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</si>
  <si>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</si>
  <si>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</si>
  <si>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</si>
  <si>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</si>
  <si>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</si>
  <si>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</si>
  <si>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</si>
  <si>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</si>
  <si>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</si>
  <si>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</si>
  <si>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</si>
  <si>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</si>
  <si>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</si>
  <si>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</si>
  <si>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</si>
  <si>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</si>
  <si>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</si>
  <si>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</si>
  <si>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</si>
  <si>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</si>
  <si>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</si>
  <si>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</si>
  <si>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</si>
  <si>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</si>
  <si>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</si>
  <si>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</si>
  <si>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</si>
  <si>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</si>
  <si>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</si>
  <si>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</si>
  <si>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</si>
  <si>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</si>
  <si>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</si>
  <si>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</si>
  <si>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</si>
  <si>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</si>
  <si>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</si>
  <si>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</si>
  <si>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</si>
  <si>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</si>
  <si>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</si>
  <si>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</si>
  <si>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</si>
  <si>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</si>
  <si>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</si>
  <si>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</si>
  <si>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</si>
  <si>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</si>
  <si>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</si>
  <si>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</si>
  <si>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</si>
  <si>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</si>
  <si>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</si>
  <si>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</si>
  <si>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</si>
  <si>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</si>
  <si>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</si>
  <si>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</si>
  <si>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</si>
  <si>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</si>
  <si>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</si>
  <si>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</si>
  <si>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</si>
  <si>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</si>
  <si>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</si>
  <si>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</si>
  <si>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</si>
  <si>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</si>
  <si>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</si>
  <si>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</si>
  <si>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</si>
  <si>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</si>
  <si>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</si>
  <si>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</si>
  <si>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</si>
  <si>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</si>
  <si>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</si>
  <si>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</si>
  <si>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</si>
  <si>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</si>
  <si>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</si>
  <si>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</si>
  <si>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</si>
  <si>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</si>
  <si>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</si>
  <si>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</si>
  <si>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</si>
  <si>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</si>
  <si>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</si>
  <si>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</si>
  <si>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</si>
  <si>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</si>
  <si>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</si>
  <si>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</si>
  <si>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</si>
  <si>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</si>
  <si>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</si>
  <si>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</si>
  <si>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</si>
  <si>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</si>
  <si>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</si>
  <si>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</si>
  <si>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</si>
  <si>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</si>
  <si>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</si>
  <si>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</si>
  <si>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</si>
  <si>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</si>
  <si>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</si>
  <si>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</si>
  <si>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</si>
  <si>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</si>
  <si>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</si>
  <si>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</si>
  <si>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</si>
  <si>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</si>
  <si>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</si>
  <si>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</si>
  <si>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</si>
  <si>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</si>
  <si>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</si>
  <si>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</si>
  <si>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</si>
  <si>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</si>
  <si>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</si>
  <si>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</si>
  <si>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</si>
  <si>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</si>
  <si>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</si>
  <si>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</si>
  <si>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</si>
  <si>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</si>
  <si>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</si>
  <si>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</si>
  <si>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</si>
  <si>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</si>
  <si>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</si>
  <si>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</si>
  <si>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</si>
  <si>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</si>
  <si>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</si>
  <si>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</si>
  <si>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</si>
  <si>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</si>
  <si>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</si>
  <si>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</si>
  <si>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</si>
  <si>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</si>
  <si>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</si>
  <si>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</si>
  <si>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</si>
  <si>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</si>
  <si>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</si>
  <si>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</si>
  <si>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</si>
  <si>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</si>
  <si>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</si>
  <si>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</si>
  <si>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</si>
  <si>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</si>
  <si>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</si>
  <si>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</si>
  <si>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</si>
  <si>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</si>
  <si>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</si>
  <si>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</si>
  <si>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</si>
  <si>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</si>
  <si>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</si>
  <si>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</si>
  <si>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</si>
  <si>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</si>
  <si>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</si>
  <si>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</si>
  <si>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</si>
  <si>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</si>
  <si>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</si>
  <si>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</si>
  <si>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</si>
  <si>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</si>
  <si>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</si>
  <si>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</si>
  <si>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</si>
  <si>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</si>
  <si>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</si>
  <si>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</si>
  <si>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</si>
  <si>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</si>
  <si>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</si>
  <si>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</si>
  <si>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</si>
  <si>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</si>
  <si>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</si>
  <si>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</si>
  <si>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</si>
  <si>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</si>
  <si>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</si>
  <si>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</si>
  <si>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</si>
  <si>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</si>
  <si>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</si>
  <si>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</si>
  <si>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</si>
  <si>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</si>
  <si>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</si>
  <si>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</si>
  <si>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</si>
  <si>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</si>
  <si>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</si>
  <si>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</si>
  <si>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</si>
  <si>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</si>
  <si>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</si>
  <si>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</si>
  <si>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</si>
  <si>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</si>
  <si>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</si>
  <si>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</si>
  <si>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</si>
  <si>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</si>
  <si>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</si>
  <si>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</si>
  <si>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</si>
  <si>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</si>
  <si>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</si>
  <si>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</si>
  <si>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</si>
  <si>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</si>
  <si>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</si>
  <si>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</si>
  <si>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</si>
  <si>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</si>
  <si>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</si>
  <si>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</si>
  <si>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</si>
  <si>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</si>
  <si>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</si>
  <si>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</si>
  <si>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</si>
  <si>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</si>
  <si>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</si>
  <si>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</si>
  <si>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</si>
  <si>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</si>
  <si>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</si>
  <si>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</si>
  <si>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</si>
  <si>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</si>
  <si>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</si>
  <si>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</si>
  <si>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</si>
  <si>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</si>
  <si>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</si>
  <si>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</si>
  <si>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</si>
  <si>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</si>
  <si>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</si>
  <si>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</si>
  <si>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</si>
  <si>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</si>
  <si>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</si>
  <si>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</si>
  <si>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</si>
  <si>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</si>
  <si>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</si>
  <si>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</si>
  <si>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</si>
  <si>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</si>
  <si>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</si>
  <si>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</si>
  <si>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</si>
  <si>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</si>
  <si>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</si>
  <si>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</si>
  <si>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</si>
  <si>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</si>
  <si>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</si>
  <si>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</si>
  <si>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</si>
  <si>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</si>
  <si>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</si>
  <si>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</si>
  <si>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</si>
  <si>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</si>
  <si>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</si>
  <si>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</si>
  <si>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</si>
  <si>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</si>
  <si>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</si>
  <si>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</si>
  <si>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</si>
  <si>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</si>
  <si>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</si>
  <si>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</si>
  <si>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</si>
  <si>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</si>
  <si>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</si>
  <si>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</si>
  <si>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</si>
  <si>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</si>
  <si>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</si>
  <si>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</si>
  <si>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</si>
  <si>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</si>
  <si>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</si>
  <si>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</si>
  <si>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</si>
  <si>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</si>
  <si>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</si>
  <si>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</si>
  <si>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</si>
  <si>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</si>
  <si>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</si>
  <si>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</si>
  <si>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</si>
  <si>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</si>
  <si>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</si>
  <si>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</si>
  <si>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</si>
  <si>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</si>
  <si>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</si>
  <si>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</si>
  <si>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</si>
  <si>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</si>
  <si>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</si>
  <si>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</si>
  <si>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</si>
  <si>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</si>
  <si>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</si>
  <si>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</si>
  <si>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</si>
  <si>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</si>
  <si>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</si>
  <si>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</si>
  <si>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</si>
  <si>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</si>
  <si>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</si>
  <si>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</si>
  <si>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</si>
  <si>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</si>
  <si>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</si>
  <si>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</si>
  <si>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</si>
  <si>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</si>
  <si>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</si>
  <si>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</si>
  <si>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</si>
  <si>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</si>
  <si>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</si>
  <si>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</si>
  <si>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</si>
  <si>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</si>
  <si>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</si>
  <si>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</si>
  <si>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</si>
  <si>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</si>
  <si>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</si>
  <si>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</si>
  <si>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</si>
  <si>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</si>
  <si>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</si>
  <si>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</si>
  <si>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</si>
  <si>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</si>
  <si>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</si>
  <si>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</si>
  <si>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</si>
  <si>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</si>
  <si>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</si>
  <si>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</si>
  <si>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</si>
  <si>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</si>
  <si>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</si>
  <si>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</si>
  <si>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</si>
  <si>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</si>
  <si>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</si>
  <si>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</si>
  <si>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</si>
  <si>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</si>
  <si>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</si>
  <si>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</si>
  <si>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</si>
  <si>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</si>
  <si>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</si>
  <si>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</si>
  <si>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</si>
  <si>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</si>
  <si>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</si>
  <si>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</si>
  <si>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</si>
  <si>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</si>
  <si>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</si>
  <si>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</si>
  <si>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</si>
  <si>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</si>
  <si>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</si>
  <si>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</si>
  <si>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</si>
  <si>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</si>
  <si>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</si>
  <si>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</si>
  <si>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</si>
  <si>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</si>
  <si>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</si>
  <si>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</si>
  <si>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</si>
  <si>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</si>
  <si>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</si>
  <si>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</si>
  <si>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</si>
  <si>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</si>
  <si>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</si>
  <si>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</si>
  <si>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</si>
  <si>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</si>
  <si>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</si>
  <si>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</si>
  <si>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</si>
  <si>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</si>
  <si>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</si>
  <si>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</si>
  <si>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</si>
  <si>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</si>
  <si>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</si>
  <si>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</si>
  <si>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</si>
  <si>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</si>
  <si>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</si>
  <si>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</si>
  <si>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</si>
  <si>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</si>
  <si>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</si>
  <si>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</si>
  <si>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</si>
  <si>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</si>
  <si>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</si>
  <si>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</si>
  <si>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</si>
  <si>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</si>
  <si>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</si>
  <si>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</si>
  <si>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</si>
  <si>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</si>
  <si>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</si>
  <si>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</si>
  <si>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</si>
  <si>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</si>
  <si>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</si>
  <si>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</si>
  <si>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</si>
  <si>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</si>
  <si>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</si>
  <si>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</si>
  <si>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</si>
  <si>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</si>
  <si>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</si>
  <si>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</si>
  <si>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</si>
  <si>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</si>
  <si>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</si>
  <si>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</si>
  <si>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</si>
  <si>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</si>
  <si>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</si>
  <si>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</si>
  <si>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</si>
  <si>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</si>
  <si>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</si>
  <si>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</si>
  <si>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</si>
  <si>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</si>
  <si>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</si>
  <si>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</si>
  <si>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</si>
  <si>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</si>
  <si>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</si>
  <si>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</si>
  <si>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</si>
  <si>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</si>
  <si>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</si>
  <si>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</si>
  <si>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</si>
  <si>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</si>
  <si>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</si>
  <si>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</si>
  <si>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</si>
  <si>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</si>
  <si>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</si>
  <si>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</si>
  <si>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</si>
  <si>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</si>
  <si>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</si>
  <si>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</si>
  <si>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</si>
  <si>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</si>
  <si>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</si>
  <si>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</si>
  <si>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</si>
  <si>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</si>
  <si>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</si>
  <si>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</si>
  <si>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</si>
  <si>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</si>
  <si>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</si>
  <si>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</si>
  <si>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</si>
  <si>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</si>
  <si>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</si>
  <si>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</si>
  <si>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</si>
  <si>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</si>
  <si>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</si>
  <si>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</si>
  <si>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</si>
  <si>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</si>
  <si>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</si>
  <si>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</si>
  <si>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</si>
  <si>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</si>
  <si>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</si>
  <si>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</si>
  <si>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</si>
  <si>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</si>
  <si>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</si>
  <si>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</si>
  <si>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</si>
  <si>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</si>
  <si>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</si>
  <si>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</si>
  <si>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</si>
  <si>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</si>
  <si>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</si>
  <si>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</si>
  <si>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</si>
  <si>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</si>
  <si>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</si>
  <si>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</si>
  <si>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</si>
  <si>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</si>
  <si>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</si>
  <si>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</si>
  <si>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</si>
  <si>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</si>
  <si>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</si>
  <si>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</si>
  <si>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</si>
  <si>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</si>
  <si>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</si>
  <si>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</si>
  <si>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</si>
  <si>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</si>
  <si>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</si>
  <si>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</si>
  <si>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</si>
  <si>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</si>
  <si>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</si>
  <si>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</si>
  <si>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</si>
  <si>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</si>
  <si>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</si>
  <si>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</si>
  <si>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</si>
  <si>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</si>
  <si>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</si>
  <si>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</si>
  <si>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</si>
  <si>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</si>
  <si>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</si>
  <si>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</si>
  <si>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</si>
  <si>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</si>
  <si>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</si>
  <si>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</si>
  <si>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</si>
  <si>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</si>
  <si>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</si>
  <si>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</si>
  <si>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</si>
  <si>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</si>
  <si>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</si>
  <si>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</si>
  <si>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</si>
  <si>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</si>
  <si>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</si>
  <si>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</si>
  <si>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</si>
  <si>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</si>
  <si>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</si>
  <si>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</si>
  <si>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</si>
  <si>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</si>
  <si>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</si>
  <si>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</si>
  <si>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</si>
  <si>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</si>
  <si>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</si>
  <si>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</si>
  <si>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</si>
  <si>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</si>
  <si>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</si>
  <si>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</si>
  <si>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</si>
  <si>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</si>
  <si>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</si>
  <si>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</si>
  <si>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</si>
  <si>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</si>
  <si>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</si>
  <si>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</si>
  <si>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</si>
  <si>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</si>
  <si>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</si>
  <si>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</si>
  <si>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</si>
  <si>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</si>
  <si>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</si>
  <si>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</si>
  <si>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</si>
  <si>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</si>
  <si>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</si>
  <si>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</si>
  <si>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</si>
  <si>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</si>
  <si>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</si>
  <si>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</si>
  <si>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</si>
  <si>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</si>
  <si>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</si>
  <si>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</si>
  <si>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</si>
  <si>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</si>
  <si>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</si>
  <si>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</si>
  <si>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</si>
  <si>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</si>
  <si>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</si>
  <si>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</si>
  <si>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</si>
  <si>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</si>
  <si>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</si>
  <si>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</si>
  <si>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</si>
  <si>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</si>
  <si>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</si>
  <si>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</si>
  <si>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</si>
  <si>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</si>
  <si>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</si>
  <si>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</si>
  <si>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</si>
  <si>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</si>
  <si>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</si>
  <si>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</si>
  <si>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</si>
  <si>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</si>
  <si>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</si>
  <si>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</si>
  <si>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</si>
  <si>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</si>
  <si>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</si>
  <si>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</si>
  <si>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</si>
  <si>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</si>
  <si>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</si>
  <si>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</si>
  <si>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</si>
  <si>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</si>
  <si>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</si>
  <si>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</si>
  <si>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</si>
  <si>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</si>
  <si>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</si>
  <si>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</si>
  <si>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</si>
  <si>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</si>
  <si>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</si>
  <si>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</si>
  <si>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</si>
  <si>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</si>
  <si>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</si>
  <si>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</si>
  <si>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</si>
  <si>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</si>
  <si>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</si>
  <si>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</si>
  <si>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</si>
  <si>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</si>
  <si>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</si>
  <si>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</si>
  <si>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</si>
  <si>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</si>
  <si>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</si>
  <si>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</si>
  <si>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</si>
  <si>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</si>
  <si>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</si>
  <si>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</si>
  <si>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</si>
  <si>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</si>
  <si>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</si>
  <si>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</si>
  <si>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</si>
  <si>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</si>
  <si>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</si>
  <si>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</si>
  <si>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</si>
  <si>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</si>
  <si>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</si>
  <si>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</si>
  <si>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</si>
  <si>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</si>
  <si>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</si>
  <si>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</si>
  <si>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</si>
  <si>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</si>
  <si>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</si>
  <si>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</si>
  <si>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</si>
  <si>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</si>
  <si>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</si>
  <si>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</si>
  <si>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</si>
  <si>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</si>
  <si>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</si>
  <si>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</si>
  <si>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</si>
  <si>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</si>
  <si>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</si>
  <si>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</si>
  <si>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</si>
  <si>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</si>
  <si>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</si>
  <si>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</si>
  <si>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</si>
  <si>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</si>
  <si>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</si>
  <si>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</si>
  <si>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</si>
  <si>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</si>
  <si>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</si>
  <si>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</si>
  <si>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</si>
  <si>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</si>
  <si>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</si>
  <si>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</si>
  <si>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</si>
  <si>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</si>
  <si>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</si>
  <si>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</si>
  <si>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</si>
  <si>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</si>
  <si>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</si>
  <si>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</si>
  <si>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</si>
  <si>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</si>
  <si>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</si>
  <si>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</si>
  <si>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</si>
  <si>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</si>
  <si>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</si>
  <si>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</si>
  <si>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</si>
  <si>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</si>
  <si>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</si>
  <si>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</si>
  <si>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</si>
  <si>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</si>
  <si>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</si>
  <si>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</si>
  <si>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</si>
  <si>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</si>
  <si>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</si>
  <si>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</si>
  <si>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</si>
  <si>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</si>
  <si>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</si>
  <si>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</si>
  <si>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</si>
  <si>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</si>
  <si>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</si>
  <si>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</si>
  <si>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</si>
  <si>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</si>
  <si>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</si>
  <si>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</si>
  <si>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</si>
  <si>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</si>
  <si>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</si>
  <si>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</si>
  <si>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</si>
  <si>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</si>
  <si>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</si>
  <si>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</si>
  <si>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</si>
  <si>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</si>
  <si>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</si>
  <si>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</si>
  <si>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</si>
  <si>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</si>
  <si>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</si>
  <si>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</si>
  <si>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</si>
  <si>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</si>
  <si>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</si>
  <si>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</si>
  <si>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</si>
  <si>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</si>
  <si>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</si>
  <si>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</si>
  <si>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</si>
  <si>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</si>
  <si>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</si>
  <si>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</si>
  <si>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</si>
  <si>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</si>
  <si>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</si>
  <si>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</si>
  <si>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</si>
  <si>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</si>
  <si>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</si>
  <si>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</si>
  <si>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</si>
  <si>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</si>
  <si>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</si>
  <si>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</si>
  <si>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</si>
  <si>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</si>
  <si>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</si>
  <si>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</si>
  <si>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</si>
  <si>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</si>
  <si>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</si>
  <si>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</si>
  <si>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</si>
  <si>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</si>
  <si>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</si>
  <si>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</si>
  <si>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</si>
  <si>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</si>
  <si>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</si>
  <si>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</si>
  <si>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</si>
  <si>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</si>
  <si>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</si>
  <si>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</si>
  <si>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</si>
  <si>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</si>
  <si>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</si>
  <si>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</si>
  <si>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</si>
  <si>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</si>
  <si>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</si>
  <si>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</si>
  <si>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</si>
  <si>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</si>
  <si>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</si>
  <si>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</si>
  <si>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</si>
  <si>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</si>
  <si>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</si>
  <si>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</si>
  <si>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</si>
  <si>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</si>
  <si>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</si>
  <si>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</si>
  <si>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</si>
  <si>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</si>
  <si>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</si>
  <si>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</si>
  <si>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</si>
  <si>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</si>
  <si>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</si>
  <si>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</si>
  <si>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</si>
  <si>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</si>
  <si>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</si>
  <si>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</si>
  <si>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</si>
  <si>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</si>
  <si>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</si>
  <si>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</si>
  <si>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</si>
  <si>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</si>
  <si>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</si>
  <si>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</si>
  <si>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</si>
  <si>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</si>
  <si>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</si>
  <si>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</si>
  <si>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</si>
  <si>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</si>
  <si>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</si>
  <si>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</si>
  <si>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</si>
  <si>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</si>
  <si>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</si>
  <si>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</si>
  <si>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</si>
  <si>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</si>
  <si>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</si>
  <si>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</si>
  <si>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</si>
  <si>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</si>
  <si>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</si>
  <si>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</si>
  <si>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</si>
  <si>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</si>
  <si>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</si>
  <si>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</si>
  <si>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</si>
  <si>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</si>
  <si>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</si>
  <si>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</si>
  <si>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</si>
  <si>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</si>
  <si>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</si>
  <si>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</si>
  <si>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</si>
  <si>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</si>
  <si>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</si>
  <si>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</si>
  <si>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</si>
  <si>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</si>
  <si>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</si>
  <si>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</si>
  <si>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</si>
  <si>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</si>
  <si>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</si>
  <si>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</si>
  <si>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</si>
  <si>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</si>
  <si>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</si>
  <si>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</si>
  <si>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</si>
  <si>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</si>
  <si>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</si>
  <si>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</si>
  <si>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</si>
  <si>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</si>
  <si>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</si>
  <si>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</si>
  <si>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</si>
  <si>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</si>
  <si>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</si>
  <si>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</si>
  <si>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</si>
  <si>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</si>
  <si>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</si>
  <si>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</si>
  <si>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</si>
  <si>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</si>
  <si>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</si>
  <si>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</si>
  <si>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</si>
  <si>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</si>
  <si>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</si>
  <si>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</si>
  <si>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</si>
  <si>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</si>
  <si>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</si>
  <si>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</si>
  <si>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</si>
  <si>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</si>
  <si>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</si>
  <si>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</si>
  <si>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</si>
  <si>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</si>
  <si>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</si>
  <si>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</si>
  <si>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</si>
  <si>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</si>
  <si>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</si>
  <si>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</si>
  <si>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</si>
  <si>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</si>
  <si>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</si>
  <si>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</si>
  <si>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</si>
  <si>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</si>
  <si>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</si>
  <si>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</si>
  <si>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</si>
  <si>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</si>
  <si>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</si>
  <si>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</si>
  <si>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</si>
  <si>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</si>
  <si>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</si>
  <si>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</si>
  <si>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</si>
  <si>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</si>
  <si>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</si>
  <si>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</si>
  <si>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</si>
  <si>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</si>
  <si>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</si>
  <si>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</si>
  <si>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</si>
  <si>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</si>
  <si>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</si>
  <si>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</si>
  <si>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</si>
  <si>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</si>
  <si>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</si>
  <si>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</si>
  <si>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</si>
  <si>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</si>
  <si>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</si>
  <si>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</si>
  <si>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</si>
  <si>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</si>
  <si>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</si>
  <si>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</si>
  <si>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</si>
  <si>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</si>
  <si>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</si>
  <si>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</si>
  <si>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</si>
  <si>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</si>
  <si>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</si>
  <si>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</si>
  <si>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</si>
  <si>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</si>
  <si>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</si>
  <si>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</si>
  <si>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</si>
  <si>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</si>
  <si>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</si>
  <si>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</si>
  <si>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</si>
  <si>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</si>
  <si>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</si>
  <si>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</si>
  <si>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</si>
  <si>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</si>
  <si>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</si>
  <si>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</si>
  <si>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</si>
  <si>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</si>
  <si>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</si>
  <si>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</si>
  <si>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</si>
  <si>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</si>
  <si>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</si>
  <si>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</si>
  <si>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</si>
  <si>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</si>
  <si>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</si>
  <si>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</si>
  <si>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</si>
  <si>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</si>
  <si>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</si>
  <si>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</si>
  <si>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</si>
  <si>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</si>
  <si>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</si>
  <si>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</si>
  <si>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</si>
  <si>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</si>
  <si>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</si>
  <si>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</si>
  <si>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</si>
  <si>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</si>
  <si>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</si>
  <si>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</si>
  <si>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</si>
  <si>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</si>
  <si>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</si>
  <si>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</si>
  <si>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</si>
  <si>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</si>
  <si>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</si>
  <si>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</si>
  <si>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</si>
  <si>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</si>
  <si>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</si>
  <si>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</si>
  <si>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</si>
  <si>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</si>
  <si>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</si>
  <si>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</si>
  <si>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</si>
  <si>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</si>
  <si>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</si>
  <si>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</si>
  <si>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</si>
  <si>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</si>
  <si>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</si>
  <si>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</si>
  <si>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</si>
  <si>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</si>
  <si>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</si>
  <si>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</si>
  <si>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</si>
  <si>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</si>
  <si>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</si>
  <si>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</si>
  <si>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</si>
  <si>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</si>
  <si>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</si>
  <si>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</si>
  <si>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</si>
  <si>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</si>
  <si>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</si>
  <si>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</si>
  <si>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</si>
  <si>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</si>
  <si>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</si>
  <si>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</si>
  <si>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</si>
  <si>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</si>
  <si>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</si>
  <si>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</si>
  <si>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</si>
  <si>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</si>
  <si>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</si>
  <si>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</si>
  <si>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</si>
  <si>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</si>
  <si>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</si>
  <si>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</si>
  <si>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</si>
  <si>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</si>
  <si>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</si>
  <si>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</si>
  <si>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</si>
  <si>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</si>
  <si>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</si>
  <si>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</si>
  <si>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</si>
  <si>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</si>
  <si>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</si>
  <si>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</si>
  <si>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</si>
  <si>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</si>
  <si>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</si>
  <si>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</si>
  <si>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</si>
  <si>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</si>
  <si>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</si>
  <si>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</si>
  <si>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</si>
  <si>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</si>
  <si>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</si>
  <si>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</si>
  <si>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</si>
  <si>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</si>
  <si>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</si>
  <si>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</si>
  <si>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</si>
  <si>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</si>
  <si>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</si>
  <si>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</si>
  <si>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</si>
  <si>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</si>
  <si>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</si>
  <si>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</si>
  <si>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</si>
  <si>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</si>
  <si>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</si>
  <si>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</si>
  <si>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</si>
  <si>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</si>
  <si>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</si>
  <si>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</si>
  <si>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</si>
  <si>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</si>
  <si>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</si>
  <si>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</si>
  <si>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</si>
  <si>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</si>
  <si>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</si>
  <si>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</si>
  <si>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</si>
  <si>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</si>
  <si>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</si>
  <si>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</si>
  <si>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</si>
  <si>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</si>
  <si>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</si>
  <si>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</si>
  <si>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</si>
  <si>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</si>
  <si>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</si>
  <si>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</si>
  <si>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</si>
  <si>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</si>
  <si>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</si>
  <si>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</si>
  <si>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</si>
  <si>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</si>
  <si>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</si>
  <si>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</si>
  <si>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</si>
  <si>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</si>
  <si>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</si>
  <si>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</si>
  <si>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</si>
  <si>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</si>
  <si>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</si>
  <si>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</si>
  <si>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</si>
  <si>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</si>
  <si>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</si>
  <si>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</si>
  <si>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</si>
  <si>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</si>
  <si>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</si>
  <si>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</si>
  <si>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</si>
  <si>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</si>
  <si>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</si>
  <si>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</si>
  <si>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</si>
  <si>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</si>
  <si>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</si>
  <si>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</si>
  <si>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</si>
  <si>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</si>
  <si>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</si>
  <si>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</si>
  <si>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</si>
  <si>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</si>
  <si>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</si>
  <si>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</si>
  <si>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</si>
  <si>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</si>
  <si>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</si>
  <si>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</si>
  <si>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</si>
  <si>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</si>
  <si>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</si>
  <si>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</si>
  <si>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</si>
  <si>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</si>
  <si>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</si>
  <si>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</si>
  <si>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</si>
  <si>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</si>
  <si>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</si>
  <si>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</si>
  <si>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</si>
  <si>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</si>
  <si>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</si>
  <si>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</si>
  <si>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</si>
  <si>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</si>
  <si>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</si>
  <si>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</si>
  <si>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</si>
  <si>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</si>
  <si>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</si>
  <si>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</si>
  <si>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</si>
  <si>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</si>
  <si>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</si>
  <si>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</si>
  <si>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</si>
  <si>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</si>
  <si>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</si>
  <si>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</si>
  <si>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</si>
  <si>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</si>
  <si>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</si>
  <si>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</si>
  <si>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</si>
  <si>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</si>
  <si>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</si>
  <si>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</si>
  <si>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</si>
  <si>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</si>
  <si>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</si>
  <si>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</si>
  <si>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</si>
  <si>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</si>
  <si>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</si>
  <si>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</si>
  <si>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</si>
  <si>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</si>
  <si>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</si>
  <si>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</si>
  <si>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</si>
  <si>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</si>
  <si>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</si>
  <si>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</si>
  <si>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</si>
  <si>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</si>
  <si>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</si>
  <si>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</si>
  <si>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</si>
  <si>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</si>
  <si>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</si>
  <si>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</si>
  <si>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</si>
  <si>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</si>
  <si>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</si>
  <si>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</si>
  <si>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</si>
  <si>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</si>
  <si>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</si>
  <si>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</si>
  <si>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</si>
  <si>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</si>
  <si>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</si>
  <si>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</si>
  <si>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</si>
  <si>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</si>
  <si>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</si>
  <si>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</si>
  <si>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</si>
  <si>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</si>
  <si>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</si>
  <si>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</si>
  <si>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</si>
  <si>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</si>
  <si>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</si>
  <si>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</si>
  <si>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</si>
  <si>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</si>
  <si>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</si>
  <si>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</si>
  <si>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</si>
  <si>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</si>
  <si>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</si>
  <si>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</si>
  <si>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</si>
  <si>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</si>
  <si>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</si>
  <si>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</si>
  <si>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</si>
  <si>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</si>
  <si>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</si>
  <si>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</si>
  <si>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</si>
  <si>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</si>
  <si>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</si>
  <si>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</si>
  <si>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</si>
  <si>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</si>
  <si>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</si>
  <si>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</si>
  <si>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</si>
  <si>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</si>
  <si>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</si>
  <si>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</si>
  <si>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</si>
  <si>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</si>
  <si>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</si>
  <si>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</si>
  <si>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</si>
  <si>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</si>
  <si>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</si>
  <si>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</si>
  <si>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</si>
  <si>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</si>
  <si>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</si>
  <si>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</si>
  <si>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</si>
  <si>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</si>
  <si>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</si>
  <si>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</si>
  <si>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</si>
  <si>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</si>
  <si>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</si>
  <si>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</si>
  <si>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</si>
  <si>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</si>
  <si>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</si>
  <si>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</si>
  <si>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</si>
  <si>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</si>
  <si>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</si>
  <si>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</si>
  <si>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</si>
  <si>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</si>
  <si>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</si>
  <si>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</si>
  <si>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</si>
  <si>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</si>
  <si>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</si>
  <si>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</si>
  <si>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</si>
  <si>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</si>
  <si>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</si>
  <si>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</si>
  <si>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</si>
  <si>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</si>
  <si>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</si>
  <si>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</si>
  <si>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</si>
  <si>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</si>
  <si>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</si>
  <si>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</si>
  <si>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</si>
  <si>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</si>
  <si>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</si>
  <si>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</si>
  <si>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</si>
  <si>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</si>
  <si>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</si>
  <si>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</si>
  <si>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</si>
  <si>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</si>
  <si>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</si>
  <si>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</si>
  <si>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</si>
  <si>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</si>
  <si>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</si>
  <si>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</si>
  <si>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</si>
  <si>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</si>
  <si>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</si>
  <si>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</si>
  <si>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</si>
  <si>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</si>
  <si>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</si>
  <si>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</si>
  <si>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</si>
  <si>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</si>
  <si>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</si>
  <si>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</si>
  <si>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</si>
  <si>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</si>
  <si>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</si>
  <si>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</si>
  <si>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</si>
  <si>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</si>
  <si>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</si>
  <si>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</si>
  <si>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</si>
  <si>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</si>
  <si>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</si>
  <si>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</si>
  <si>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</si>
  <si>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</si>
  <si>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</si>
  <si>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</si>
  <si>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</si>
  <si>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</si>
  <si>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</si>
  <si>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</si>
  <si>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</si>
  <si>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</si>
  <si>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</si>
  <si>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</si>
  <si>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</si>
  <si>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</si>
  <si>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</si>
  <si>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</si>
  <si>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</si>
  <si>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</si>
  <si>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</si>
  <si>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</si>
  <si>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</si>
  <si>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</si>
  <si>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</si>
  <si>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</si>
  <si>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</si>
  <si>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</si>
  <si>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</si>
  <si>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</si>
  <si>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</si>
  <si>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</si>
  <si>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</si>
  <si>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</si>
  <si>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</si>
  <si>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</si>
  <si>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</si>
  <si>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</si>
  <si>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</si>
  <si>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</si>
  <si>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</si>
  <si>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</si>
  <si>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</si>
  <si>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</si>
  <si>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</si>
  <si>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</si>
  <si>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</si>
  <si>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</si>
  <si>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</si>
  <si>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</si>
  <si>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</si>
  <si>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</si>
  <si>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</si>
  <si>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</si>
  <si>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</si>
  <si>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</si>
  <si>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</si>
  <si>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</si>
  <si>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</si>
  <si>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</si>
  <si>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</si>
  <si>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</si>
  <si>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</si>
  <si>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</si>
  <si>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</si>
  <si>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</si>
  <si>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</si>
  <si>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</si>
  <si>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</si>
  <si>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</si>
  <si>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</si>
  <si>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</si>
  <si>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</si>
  <si>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</si>
  <si>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</si>
  <si>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</si>
  <si>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</si>
  <si>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</si>
  <si>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</si>
  <si>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</si>
  <si>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</si>
  <si>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</si>
  <si>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</si>
  <si>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</si>
  <si>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</si>
  <si>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</si>
  <si>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</si>
  <si>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</si>
  <si>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</si>
  <si>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</si>
  <si>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</si>
  <si>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</si>
  <si>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</si>
  <si>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</si>
  <si>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</si>
  <si>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</si>
  <si>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</si>
  <si>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</si>
  <si>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</si>
  <si>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</si>
  <si>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</si>
  <si>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</si>
  <si>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</si>
  <si>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</si>
  <si>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</si>
  <si>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</si>
  <si>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</si>
  <si>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</si>
  <si>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</si>
  <si>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</si>
  <si>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</si>
  <si>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</si>
  <si>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</si>
  <si>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</si>
  <si>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</si>
  <si>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</si>
  <si>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</si>
  <si>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</si>
  <si>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</si>
  <si>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</si>
  <si>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</si>
  <si>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</si>
  <si>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</si>
  <si>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</si>
  <si>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</si>
  <si>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</si>
  <si>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</si>
  <si>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</si>
  <si>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</si>
  <si>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</si>
  <si>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</si>
  <si>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</si>
  <si>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</si>
  <si>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</si>
  <si>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</si>
  <si>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</si>
  <si>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</si>
  <si>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</si>
  <si>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</si>
  <si>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</si>
  <si>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</si>
  <si>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</si>
  <si>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</si>
  <si>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</si>
  <si>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</si>
  <si>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</si>
  <si>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</si>
  <si>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</si>
  <si>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</si>
  <si>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</si>
  <si>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</si>
  <si>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</si>
  <si>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</si>
  <si>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</si>
  <si>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</si>
  <si>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</si>
  <si>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</si>
  <si>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</si>
  <si>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</si>
  <si>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</si>
  <si>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</si>
  <si>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</si>
  <si>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</si>
  <si>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</si>
  <si>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</si>
  <si>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</si>
  <si>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</si>
  <si>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</si>
  <si>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</si>
  <si>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</si>
  <si>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</si>
  <si>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</si>
  <si>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</si>
  <si>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</si>
  <si>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</si>
  <si>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</si>
  <si>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</si>
  <si>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</si>
  <si>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</si>
  <si>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</si>
  <si>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</si>
  <si>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</si>
  <si>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</si>
  <si>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</si>
  <si>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</si>
  <si>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</si>
  <si>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</si>
  <si>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</si>
  <si>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</si>
  <si>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</si>
  <si>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</si>
  <si>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</si>
  <si>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</si>
  <si>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</si>
  <si>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</si>
  <si>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</si>
  <si>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</si>
  <si>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</si>
  <si>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</si>
  <si>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</si>
  <si>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</si>
  <si>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</si>
  <si>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</si>
  <si>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</si>
  <si>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</si>
  <si>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</si>
  <si>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</si>
  <si>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</si>
  <si>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</si>
  <si>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</si>
  <si>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</si>
  <si>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</si>
  <si>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</si>
  <si>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</si>
  <si>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</si>
  <si>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</si>
  <si>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</si>
  <si>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</si>
  <si>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</si>
  <si>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</si>
  <si>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</si>
  <si>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</si>
  <si>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</si>
  <si>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</si>
  <si>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</si>
  <si>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</si>
  <si>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</si>
  <si>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</si>
  <si>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</si>
  <si>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</si>
  <si>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</si>
  <si>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</si>
  <si>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</si>
  <si>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</si>
  <si>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</si>
  <si>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</si>
  <si>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</si>
  <si>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</si>
  <si>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</si>
  <si>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</si>
  <si>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</si>
  <si>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</si>
  <si>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</si>
  <si>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</si>
  <si>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</si>
  <si>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</si>
  <si>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</si>
  <si>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</si>
  <si>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</si>
  <si>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</si>
  <si>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</si>
  <si>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</si>
  <si>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</si>
  <si>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</si>
  <si>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</si>
  <si>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</si>
  <si>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</si>
  <si>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</si>
  <si>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</si>
  <si>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</si>
  <si>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</si>
  <si>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</si>
  <si>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</si>
  <si>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</si>
  <si>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</si>
  <si>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</si>
  <si>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</si>
  <si>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</si>
  <si>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</si>
  <si>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</si>
  <si>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</si>
  <si>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</si>
  <si>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</si>
  <si>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</si>
  <si>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</si>
  <si>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</si>
  <si>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</si>
  <si>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</si>
  <si>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</si>
  <si>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</si>
  <si>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</si>
  <si>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</si>
  <si>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</si>
  <si>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</si>
  <si>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</si>
  <si>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</si>
  <si>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</si>
  <si>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</si>
  <si>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</si>
  <si>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</si>
  <si>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</si>
  <si>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</si>
  <si>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</si>
  <si>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</si>
  <si>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</si>
  <si>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</si>
  <si>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</si>
  <si>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</si>
  <si>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</si>
  <si>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</si>
  <si>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</si>
  <si>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</si>
  <si>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</si>
  <si>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</si>
  <si>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</si>
  <si>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</si>
  <si>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</si>
  <si>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</si>
  <si>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</si>
  <si>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</si>
  <si>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</si>
  <si>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</si>
  <si>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</si>
  <si>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</si>
  <si>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</si>
  <si>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</si>
  <si>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</si>
  <si>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</si>
  <si>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</si>
  <si>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</si>
  <si>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</si>
  <si>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</si>
  <si>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</si>
  <si>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</si>
  <si>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</si>
  <si>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</si>
  <si>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</si>
  <si>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</si>
  <si>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</si>
  <si>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</si>
  <si>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</si>
  <si>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</si>
  <si>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</si>
  <si>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</si>
  <si>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</si>
  <si>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</si>
  <si>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</si>
  <si>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</si>
  <si>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</si>
  <si>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</si>
  <si>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</si>
  <si>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</si>
  <si>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</si>
  <si>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</si>
  <si>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</si>
  <si>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</si>
  <si>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</si>
  <si>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</si>
  <si>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</si>
  <si>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</si>
  <si>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</si>
  <si>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</si>
  <si>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</si>
  <si>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</si>
  <si>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</si>
  <si>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</si>
  <si>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</si>
  <si>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</si>
  <si>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</si>
  <si>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</si>
  <si>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</si>
  <si>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</si>
  <si>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</si>
  <si>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</si>
  <si>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</si>
  <si>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</si>
  <si>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</si>
  <si>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</si>
  <si>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</si>
  <si>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</si>
  <si>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</si>
  <si>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</si>
  <si>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</si>
  <si>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</si>
  <si>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</si>
  <si>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</si>
  <si>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</si>
  <si>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</si>
  <si>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</si>
  <si>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</si>
  <si>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</si>
  <si>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</si>
  <si>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</si>
  <si>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</si>
  <si>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</si>
  <si>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</si>
  <si>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</si>
  <si>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</si>
  <si>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</si>
  <si>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</si>
  <si>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</si>
  <si>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</si>
  <si>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</si>
  <si>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</si>
  <si>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</si>
  <si>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</si>
  <si>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</si>
  <si>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</si>
  <si>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</si>
  <si>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</si>
  <si>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</si>
  <si>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</si>
  <si>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</si>
  <si>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</si>
  <si>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</si>
  <si>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</si>
  <si>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</si>
  <si>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</si>
  <si>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</si>
  <si>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</si>
  <si>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</si>
  <si>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</si>
  <si>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</si>
  <si>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</si>
  <si>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</si>
  <si>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</si>
  <si>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</si>
  <si>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</si>
  <si>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</si>
  <si>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</si>
  <si>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</si>
  <si>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</si>
  <si>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</si>
  <si>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</si>
  <si>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</si>
  <si>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</si>
  <si>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</si>
  <si>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</si>
  <si>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</si>
  <si>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</si>
  <si>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</si>
  <si>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</si>
  <si>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</si>
  <si>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</si>
  <si>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</si>
  <si>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</si>
  <si>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</si>
  <si>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</si>
  <si>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</si>
  <si>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</si>
  <si>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</si>
  <si>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</si>
  <si>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</si>
  <si>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</si>
  <si>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</si>
  <si>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</si>
  <si>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</si>
  <si>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</si>
  <si>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</si>
  <si>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</si>
  <si>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</si>
  <si>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</si>
  <si>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</si>
  <si>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</si>
  <si>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</si>
  <si>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</si>
  <si>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</si>
  <si>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</si>
  <si>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</si>
  <si>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</si>
  <si>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</si>
  <si>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</si>
  <si>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</si>
  <si>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</si>
  <si>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</si>
  <si>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</si>
  <si>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</si>
  <si>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</si>
  <si>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</si>
  <si>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</si>
  <si>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</si>
  <si>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</si>
  <si>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</si>
  <si>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</si>
  <si>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</si>
  <si>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</si>
  <si>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</si>
  <si>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</si>
  <si>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</si>
  <si>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</si>
  <si>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</si>
  <si>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</si>
  <si>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</si>
  <si>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</si>
  <si>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</si>
  <si>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</si>
  <si>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</si>
  <si>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</si>
  <si>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</si>
  <si>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</si>
  <si>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</si>
  <si>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</si>
  <si>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</si>
  <si>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</si>
  <si>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</si>
  <si>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</si>
  <si>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</si>
  <si>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</si>
  <si>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</si>
  <si>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</si>
  <si>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</si>
  <si>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</si>
  <si>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</si>
  <si>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</si>
  <si>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</si>
  <si>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</si>
  <si>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</si>
  <si>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</si>
  <si>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</si>
  <si>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</si>
  <si>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</si>
  <si>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</si>
  <si>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</si>
  <si>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</si>
  <si>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</si>
  <si>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</si>
  <si>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</si>
  <si>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</si>
  <si>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</si>
  <si>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</si>
  <si>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</si>
  <si>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</si>
  <si>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</si>
  <si>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</si>
  <si>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</si>
  <si>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</si>
  <si>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</si>
  <si>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</si>
  <si>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</si>
  <si>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</si>
  <si>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</si>
  <si>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</si>
  <si>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</si>
  <si>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</si>
  <si>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</si>
  <si>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</si>
  <si>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</si>
  <si>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</si>
  <si>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</si>
  <si>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</si>
  <si>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</si>
  <si>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</si>
  <si>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</si>
  <si>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</si>
  <si>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</si>
  <si>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</si>
  <si>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</si>
  <si>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</si>
  <si>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</si>
  <si>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</si>
  <si>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</si>
  <si>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</si>
  <si>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</si>
  <si>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</si>
  <si>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</si>
  <si>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</si>
  <si>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</si>
  <si>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</si>
  <si>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</si>
  <si>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</si>
  <si>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</si>
  <si>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LOUP</t>
  </si>
  <si>
    <t xml:space="preserve">LOUP A COURMES</t>
  </si>
  <si>
    <t xml:space="preserve">06700125</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</si>
  <si>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</si>
  <si>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</si>
  <si>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</si>
  <si>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</si>
  <si>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</si>
  <si>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</si>
  <si>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</si>
  <si>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</si>
  <si>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</si>
  <si>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mouille</t>
  </si>
  <si>
    <t xml:space="preserve">niveau trophique</t>
  </si>
  <si>
    <t xml:space="preserve">moyen</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</si>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</sst>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42970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11.8148148148148</v>
      </c>
      <c r="N5" s="324"/>
      <c r="O5" s="325" t="s">
        <v>134</v>
      </c>
      <c r="P5" s="326" t="n">
        <v>12.5416666666667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85</v>
      </c>
      <c r="C7" s="342" t="n">
        <v>15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11.4</v>
      </c>
      <c r="P8" s="356" t="n">
        <f aca="false">IF(ISERROR(AVERAGE(K23:K82)),"  ",AVERAGE(K23:K82))</f>
        <v>1.6</v>
      </c>
      <c r="Q8" s="357"/>
      <c r="R8" s="281"/>
      <c r="S8" s="281"/>
      <c r="T8" s="281"/>
      <c r="U8" s="281"/>
      <c r="V8" s="281"/>
      <c r="W8" s="295"/>
      <c r="X8" s="0"/>
      <c r="Y8" s="0"/>
      <c r="Z8" s="0"/>
    </row>
    <row r="9" customFormat="false" ht="12.75" hidden="false" customHeight="false" outlineLevel="0" collapsed="false">
      <c r="A9" s="314" t="s">
        <v>3400</v>
      </c>
      <c r="B9" s="358" t="n">
        <v>8</v>
      </c>
      <c r="C9" s="359" t="n">
        <v>1</v>
      </c>
      <c r="D9" s="360"/>
      <c r="E9" s="360"/>
      <c r="F9" s="361" t="n">
        <f aca="false">($B9*$B$7+$C9*$C$7)/100</f>
        <v>6.95</v>
      </c>
      <c r="G9" s="362"/>
      <c r="H9" s="317"/>
      <c r="I9" s="281"/>
      <c r="J9" s="363"/>
      <c r="K9" s="364"/>
      <c r="L9" s="347"/>
      <c r="M9" s="365"/>
      <c r="N9" s="355" t="s">
        <v>3401</v>
      </c>
      <c r="O9" s="356" t="n">
        <f aca="false">IF(ISERROR(STDEVP(J23:J82))," ",STDEVP(J23:J82))</f>
        <v>3.38230690505755</v>
      </c>
      <c r="P9" s="356" t="n">
        <f aca="false">IF(ISERROR(STDEVP(K23:K82)),"  ",STDEVP(K23:K82))</f>
        <v>0.611010092660779</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7</v>
      </c>
      <c r="M13" s="381"/>
      <c r="N13" s="389" t="s">
        <v>3413</v>
      </c>
      <c r="O13" s="390" t="n">
        <f aca="false">COUNTIF(F23:F82,"&gt;0")</f>
        <v>23</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4</v>
      </c>
      <c r="M15" s="381"/>
      <c r="N15" s="389" t="s">
        <v>3419</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0.652173913043478</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8.2</v>
      </c>
      <c r="C20" s="433" t="n">
        <f aca="false">SUM(C23:C82)</f>
        <v>0.23</v>
      </c>
      <c r="D20" s="434"/>
      <c r="E20" s="435" t="s">
        <v>3426</v>
      </c>
      <c r="F20" s="436" t="n">
        <f aca="false">($B20*$B$7+$C20*$C$7)/100</f>
        <v>7.0045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6.97</v>
      </c>
      <c r="C21" s="444" t="n">
        <f aca="false">C20*C7/100</f>
        <v>0.0345</v>
      </c>
      <c r="D21" s="445" t="s">
        <v>3429</v>
      </c>
      <c r="E21" s="446"/>
      <c r="F21" s="447" t="n">
        <f aca="false">B21+C21</f>
        <v>7.0045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0.0085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0.0085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58</v>
      </c>
      <c r="B24" s="490" t="n">
        <v>0.01</v>
      </c>
      <c r="C24" s="491"/>
      <c r="D24" s="492" t="str">
        <f aca="false">IF(ISERROR(VLOOKUP($A24,'liste reference'!$A$6:$B$1174,2,0)),IF(ISERROR(VLOOKUP($A24,'liste reference'!$B$6:$B$1174,1,0)),"",VLOOKUP($A24,'liste reference'!$B$6:$B$1174,1,0)),VLOOKUP($A24,'liste reference'!$A$6:$B$1174,2,0))</f>
        <v>Bangia sp.</v>
      </c>
      <c r="E24" s="493" t="e">
        <f aca="false">IF(D24="",0,VLOOKUP(D24,D$22:D23,1,0))</f>
        <v>#N/A</v>
      </c>
      <c r="F24" s="494" t="n">
        <f aca="false">IF(AND(OR(A24="",A24="!!!!!!"),B24="",C24=""),"",IF(OR(AND(B24="",C24=""),ISERROR(C24+B24)),"!!!",($B24*$B$7+$C24*$C$7)/100))</f>
        <v>0.0085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Bangia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1153</v>
      </c>
      <c r="R24" s="484" t="n">
        <f aca="false">IF(ISTEXT(H24),"",(B24*$B$7/100)+(C24*$C$7/100))</f>
        <v>0.0085</v>
      </c>
      <c r="S24" s="485" t="n">
        <f aca="false">IF(OR(ISTEXT(H24),R24=0),"",IF(R24&lt;0.1,1,IF(R24&lt;1,2,IF(R24&lt;10,3,IF(R24&lt;50,4,IF(R24&gt;=50,5,""))))))</f>
        <v>1</v>
      </c>
      <c r="T24" s="485" t="n">
        <f aca="false">IF(ISERROR(S24*J24),0,S24*J24)</f>
        <v>10</v>
      </c>
      <c r="U24" s="485" t="n">
        <f aca="false">IF(ISERROR(S24*J24*K24),0,S24*J24*K24)</f>
        <v>20</v>
      </c>
      <c r="V24" s="501" t="n">
        <f aca="false">IF(ISERROR(S24*K24),0,S24*K24)</f>
        <v>2</v>
      </c>
      <c r="W24" s="502"/>
      <c r="X24" s="503"/>
      <c r="Y24" s="488" t="str">
        <f aca="false">IF(AND(ISNUMBER(F24),OR(A24="",A24="!!!!!!")),"!!!!!!",IF(A24="new.cod","NEWCOD",IF(AND((Z24=""),ISTEXT(A24),A24&lt;&gt;"!!!!!!"),A24,IF(Z24="","",INDEX('liste reference'!$A$6:$A$1174,Z24)))))</f>
        <v>BANSPX</v>
      </c>
      <c r="Z24" s="470" t="n">
        <f aca="false">IF(ISERROR(MATCH(A24,'liste reference'!$A$6:$A$1174,0)),IF(ISERROR(MATCH(A24,'liste reference'!$B$6:$B$1174,0)),"",(MATCH(A24,'liste reference'!$B$6:$B$1174,0))),(MATCH(A24,'liste reference'!$A$6:$A$1174,0)))</f>
        <v>9</v>
      </c>
    </row>
    <row r="25" customFormat="false" ht="12.75" hidden="false" customHeight="false" outlineLevel="0" collapsed="false">
      <c r="A25" s="489" t="s">
        <v>134</v>
      </c>
      <c r="B25" s="490" t="n">
        <v>7</v>
      </c>
      <c r="C25" s="491" t="n">
        <v>0.01</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5.9515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5.9515</v>
      </c>
      <c r="S25" s="485" t="n">
        <f aca="false">IF(OR(ISTEXT(H25),R25=0),"",IF(R25&lt;0.1,1,IF(R25&lt;1,2,IF(R25&lt;10,3,IF(R25&lt;50,4,IF(R25&gt;=50,5,""))))))</f>
        <v>3</v>
      </c>
      <c r="T25" s="485" t="n">
        <f aca="false">IF(ISERROR(S25*J25),0,S25*J25)</f>
        <v>18</v>
      </c>
      <c r="U25" s="485" t="n">
        <f aca="false">IF(ISERROR(S25*J25*K25),0,S25*J25*K25)</f>
        <v>18</v>
      </c>
      <c r="V25" s="501" t="n">
        <f aca="false">IF(ISERROR(S25*K25),0,S25*K25)</f>
        <v>3</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148</v>
      </c>
      <c r="B26" s="490" t="n">
        <v>0.02</v>
      </c>
      <c r="C26" s="491"/>
      <c r="D26" s="492" t="str">
        <f aca="false">IF(ISERROR(VLOOKUP($A26,'liste reference'!$A$6:$B$1174,2,0)),IF(ISERROR(VLOOKUP($A26,'liste reference'!$B$6:$B$1174,1,0)),"",VLOOKUP($A26,'liste reference'!$B$6:$B$1174,1,0)),VLOOKUP($A26,'liste reference'!$A$6:$B$1174,2,0))</f>
        <v>Cymbella sp.</v>
      </c>
      <c r="E26" s="493" t="e">
        <f aca="false">IF(D26="",0,VLOOKUP(D26,D$22:D25,1,0))</f>
        <v>#N/A</v>
      </c>
      <c r="F26" s="494" t="n">
        <f aca="false">IF(AND(OR(A26="",A26="!!!!!!"),B26="",C26=""),"",IF(OR(AND(B26="",C26=""),ISERROR(C26+B26)),"!!!",($B26*$B$7+$C26*$C$7)/100))</f>
        <v>0.017</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Cymbella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7368</v>
      </c>
      <c r="R26" s="484" t="n">
        <f aca="false">IF(ISTEXT(H26),"",(B26*$B$7/100)+(C26*$C$7/100))</f>
        <v>0.017</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CYBSPX</v>
      </c>
      <c r="Z26" s="470" t="n">
        <f aca="false">IF(ISERROR(MATCH(A26,'liste reference'!$A$6:$A$1174,0)),IF(ISERROR(MATCH(A26,'liste reference'!$B$6:$B$1174,0)),"",(MATCH(A26,'liste reference'!$B$6:$B$1174,0))),(MATCH(A26,'liste reference'!$A$6:$A$1174,0)))</f>
        <v>39</v>
      </c>
    </row>
    <row r="27" customFormat="false" ht="12.75" hidden="false" customHeight="false" outlineLevel="0" collapsed="false">
      <c r="A27" s="489" t="s">
        <v>151</v>
      </c>
      <c r="B27" s="490" t="n">
        <v>0.01</v>
      </c>
      <c r="C27" s="491"/>
      <c r="D27" s="492" t="str">
        <f aca="false">IF(ISERROR(VLOOKUP($A27,'liste reference'!$A$6:$B$1174,2,0)),IF(ISERROR(VLOOKUP($A27,'liste reference'!$B$6:$B$1174,1,0)),"",VLOOKUP($A27,'liste reference'!$B$6:$B$1174,1,0)),VLOOKUP($A27,'liste reference'!$A$6:$B$1174,2,0))</f>
        <v>Diatoma sp.</v>
      </c>
      <c r="E27" s="493" t="e">
        <f aca="false">IF(D27="",0,VLOOKUP(D27,D$22:D26,1,0))</f>
        <v>#N/A</v>
      </c>
      <c r="F27" s="494" t="n">
        <f aca="false">IF(AND(OR(A27="",A27="!!!!!!"),B27="",C27=""),"",IF(OR(AND(B27="",C27=""),ISERROR(C27+B27)),"!!!",($B27*$B$7+$C27*$C$7)/100))</f>
        <v>0.0085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Diatoma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6627</v>
      </c>
      <c r="R27" s="484" t="n">
        <f aca="false">IF(ISTEXT(H27),"",(B27*$B$7/100)+(C27*$C$7/100))</f>
        <v>0.0085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DIASPX</v>
      </c>
      <c r="Z27" s="470" t="n">
        <f aca="false">IF(ISERROR(MATCH(A27,'liste reference'!$A$6:$A$1174,0)),IF(ISERROR(MATCH(A27,'liste reference'!$B$6:$B$1174,0)),"",(MATCH(A27,'liste reference'!$B$6:$B$1174,0))),(MATCH(A27,'liste reference'!$A$6:$A$1174,0)))</f>
        <v>40</v>
      </c>
    </row>
    <row r="28" customFormat="false" ht="12.75" hidden="false" customHeight="false" outlineLevel="0" collapsed="false">
      <c r="A28" s="489" t="s">
        <v>217</v>
      </c>
      <c r="B28" s="490" t="n">
        <v>0.01</v>
      </c>
      <c r="C28" s="491"/>
      <c r="D28" s="492" t="str">
        <f aca="false">IF(ISERROR(VLOOKUP($A28,'liste reference'!$A$6:$B$1174,2,0)),IF(ISERROR(VLOOKUP($A28,'liste reference'!$B$6:$B$1174,1,0)),"",VLOOKUP($A28,'liste reference'!$B$6:$B$1174,1,0)),VLOOKUP($A28,'liste reference'!$A$6:$B$1174,2,0))</f>
        <v>Lemanea sp.</v>
      </c>
      <c r="E28" s="493" t="e">
        <f aca="false">IF(D28="",0,VLOOKUP(D28,D$22:D27,1,0))</f>
        <v>#N/A</v>
      </c>
      <c r="F28" s="494" t="n">
        <f aca="false">IF(AND(OR(A28="",A28="!!!!!!"),B28="",C28=""),"",IF(OR(AND(B28="",C28=""),ISERROR(C28+B28)),"!!!",($B28*$B$7+$C28*$C$7)/100))</f>
        <v>0.0085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15</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Lemanea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1159</v>
      </c>
      <c r="R28" s="484" t="n">
        <f aca="false">IF(ISTEXT(H28),"",(B28*$B$7/100)+(C28*$C$7/100))</f>
        <v>0.0085</v>
      </c>
      <c r="S28" s="485" t="n">
        <f aca="false">IF(OR(ISTEXT(H28),R28=0),"",IF(R28&lt;0.1,1,IF(R28&lt;1,2,IF(R28&lt;10,3,IF(R28&lt;50,4,IF(R28&gt;=50,5,""))))))</f>
        <v>1</v>
      </c>
      <c r="T28" s="485" t="n">
        <f aca="false">IF(ISERROR(S28*J28),0,S28*J28)</f>
        <v>15</v>
      </c>
      <c r="U28" s="485" t="n">
        <f aca="false">IF(ISERROR(S28*J28*K28),0,S28*J28*K28)</f>
        <v>30</v>
      </c>
      <c r="V28" s="501" t="n">
        <f aca="false">IF(ISERROR(S28*K28),0,S28*K28)</f>
        <v>2</v>
      </c>
      <c r="W28" s="502"/>
      <c r="X28" s="503"/>
      <c r="Y28" s="488" t="str">
        <f aca="false">IF(AND(ISNUMBER(F28),OR(A28="",A28="!!!!!!")),"!!!!!!",IF(A28="new.cod","NEWCOD",IF(AND((Z28=""),ISTEXT(A28),A28&lt;&gt;"!!!!!!"),A28,IF(Z28="","",INDEX('liste reference'!$A$6:$A$1174,Z28)))))</f>
        <v>LEASPX</v>
      </c>
      <c r="Z28" s="470" t="n">
        <f aca="false">IF(ISERROR(MATCH(A28,'liste reference'!$A$6:$A$1174,0)),IF(ISERROR(MATCH(A28,'liste reference'!$B$6:$B$1174,0)),"",(MATCH(A28,'liste reference'!$B$6:$B$1174,0))),(MATCH(A28,'liste reference'!$A$6:$A$1174,0)))</f>
        <v>59</v>
      </c>
    </row>
    <row r="29" customFormat="false" ht="12.75" hidden="false" customHeight="false" outlineLevel="0" collapsed="false">
      <c r="A29" s="489" t="s">
        <v>234</v>
      </c>
      <c r="B29" s="490" t="n">
        <v>0.5</v>
      </c>
      <c r="C29" s="491"/>
      <c r="D29" s="492" t="str">
        <f aca="false">IF(ISERROR(VLOOKUP($A29,'liste reference'!$A$6:$B$1174,2,0)),IF(ISERROR(VLOOKUP($A29,'liste reference'!$B$6:$B$1174,1,0)),"",VLOOKUP($A29,'liste reference'!$B$6:$B$1174,1,0)),VLOOKUP($A29,'liste reference'!$A$6:$B$1174,2,0))</f>
        <v>Microcoleus sp.</v>
      </c>
      <c r="E29" s="493" t="e">
        <f aca="false">IF(D29="",0,VLOOKUP(D29,D$22:D28,1,0))</f>
        <v>#N/A</v>
      </c>
      <c r="F29" s="494" t="n">
        <f aca="false">IF(AND(OR(A29="",A29="!!!!!!"),B29="",C29=""),"",IF(OR(AND(B29="",C29=""),ISERROR(C29+B29)),"!!!",($B29*$B$7+$C29*$C$7)/100))</f>
        <v>0.425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Microcoleus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6405</v>
      </c>
      <c r="R29" s="484" t="n">
        <f aca="false">IF(ISTEXT(H29),"",(B29*$B$7/100)+(C29*$C$7/100))</f>
        <v>0.425</v>
      </c>
      <c r="S29" s="485" t="n">
        <f aca="false">IF(OR(ISTEXT(H29),R29=0),"",IF(R29&lt;0.1,1,IF(R29&lt;1,2,IF(R29&lt;10,3,IF(R29&lt;50,4,IF(R29&gt;=50,5,""))))))</f>
        <v>2</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MIRSPX</v>
      </c>
      <c r="Z29" s="470" t="n">
        <f aca="false">IF(ISERROR(MATCH(A29,'liste reference'!$A$6:$A$1174,0)),IF(ISERROR(MATCH(A29,'liste reference'!$B$6:$B$1174,0)),"",(MATCH(A29,'liste reference'!$B$6:$B$1174,0))),(MATCH(A29,'liste reference'!$A$6:$A$1174,0)))</f>
        <v>64</v>
      </c>
    </row>
    <row r="30" customFormat="false" ht="12.75" hidden="false" customHeight="false" outlineLevel="0" collapsed="false">
      <c r="A30" s="489" t="s">
        <v>244</v>
      </c>
      <c r="B30" s="490" t="n">
        <v>0.05</v>
      </c>
      <c r="C30" s="491"/>
      <c r="D30" s="492" t="str">
        <f aca="false">IF(ISERROR(VLOOKUP($A30,'liste reference'!$A$6:$B$1174,2,0)),IF(ISERROR(VLOOKUP($A30,'liste reference'!$B$6:$B$1174,1,0)),"",VLOOKUP($A30,'liste reference'!$B$6:$B$1174,1,0)),VLOOKUP($A30,'liste reference'!$A$6:$B$1174,2,0))</f>
        <v>Mougeotia sp.</v>
      </c>
      <c r="E30" s="493" t="e">
        <f aca="false">IF(D30="",0,VLOOKUP(D30,D$22:D29,1,0))</f>
        <v>#N/A</v>
      </c>
      <c r="F30" s="494" t="n">
        <f aca="false">IF(AND(OR(A30="",A30="!!!!!!"),B30="",C30=""),"",IF(OR(AND(B30="",C30=""),ISERROR(C30+B30)),"!!!",($B30*$B$7+$C30*$C$7)/100))</f>
        <v>0.0425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Mougeotia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1146</v>
      </c>
      <c r="R30" s="484" t="n">
        <f aca="false">IF(ISTEXT(H30),"",(B30*$B$7/100)+(C30*$C$7/100))</f>
        <v>0.0425</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MOUSPX</v>
      </c>
      <c r="Z30" s="470" t="n">
        <f aca="false">IF(ISERROR(MATCH(A30,'liste reference'!$A$6:$A$1174,0)),IF(ISERROR(MATCH(A30,'liste reference'!$B$6:$B$1174,0)),"",(MATCH(A30,'liste reference'!$B$6:$B$1174,0))),(MATCH(A30,'liste reference'!$A$6:$A$1174,0)))</f>
        <v>68</v>
      </c>
    </row>
    <row r="31" customFormat="false" ht="12.75" hidden="false" customHeight="false" outlineLevel="0" collapsed="false">
      <c r="A31" s="489" t="s">
        <v>291</v>
      </c>
      <c r="B31" s="490" t="n">
        <v>0.02</v>
      </c>
      <c r="C31" s="491"/>
      <c r="D31" s="492" t="str">
        <f aca="false">IF(ISERROR(VLOOKUP($A31,'liste reference'!$A$6:$B$1174,2,0)),IF(ISERROR(VLOOKUP($A31,'liste reference'!$B$6:$B$1174,1,0)),"",VLOOKUP($A31,'liste reference'!$B$6:$B$1174,1,0)),VLOOKUP($A31,'liste reference'!$A$6:$B$1174,2,0))</f>
        <v>Nostoc sp.</v>
      </c>
      <c r="E31" s="493" t="e">
        <f aca="false">IF(D31="",0,VLOOKUP(D31,D$22:D30,1,0))</f>
        <v>#N/A</v>
      </c>
      <c r="F31" s="494" t="n">
        <f aca="false">IF(AND(OR(A31="",A31="!!!!!!"),B31="",C31=""),"",IF(OR(AND(B31="",C31=""),ISERROR(C31+B31)),"!!!",($B31*$B$7+$C31*$C$7)/100))</f>
        <v>0.017</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9</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Nostoc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1105</v>
      </c>
      <c r="R31" s="484" t="n">
        <f aca="false">IF(ISTEXT(H31),"",(B31*$B$7/100)+(C31*$C$7/100))</f>
        <v>0.017</v>
      </c>
      <c r="S31" s="485" t="n">
        <f aca="false">IF(OR(ISTEXT(H31),R31=0),"",IF(R31&lt;0.1,1,IF(R31&lt;1,2,IF(R31&lt;10,3,IF(R31&lt;50,4,IF(R31&gt;=50,5,""))))))</f>
        <v>1</v>
      </c>
      <c r="T31" s="485" t="n">
        <f aca="false">IF(ISERROR(S31*J31),0,S31*J31)</f>
        <v>9</v>
      </c>
      <c r="U31" s="485" t="n">
        <f aca="false">IF(ISERROR(S31*J31*K31),0,S31*J31*K31)</f>
        <v>9</v>
      </c>
      <c r="V31" s="501" t="n">
        <f aca="false">IF(ISERROR(S31*K31),0,S31*K31)</f>
        <v>1</v>
      </c>
      <c r="W31" s="502"/>
      <c r="X31" s="503"/>
      <c r="Y31" s="488" t="str">
        <f aca="false">IF(AND(ISNUMBER(F31),OR(A31="",A31="!!!!!!")),"!!!!!!",IF(A31="new.cod","NEWCOD",IF(AND((Z31=""),ISTEXT(A31),A31&lt;&gt;"!!!!!!"),A31,IF(Z31="","",INDEX('liste reference'!$A$6:$A$1174,Z31)))))</f>
        <v>NOSSPX</v>
      </c>
      <c r="Z31" s="470" t="n">
        <f aca="false">IF(ISERROR(MATCH(A31,'liste reference'!$A$6:$A$1174,0)),IF(ISERROR(MATCH(A31,'liste reference'!$B$6:$B$1174,0)),"",(MATCH(A31,'liste reference'!$B$6:$B$1174,0))),(MATCH(A31,'liste reference'!$A$6:$A$1174,0)))</f>
        <v>84</v>
      </c>
    </row>
    <row r="32" customFormat="false" ht="12.75" hidden="false" customHeight="false" outlineLevel="0" collapsed="false">
      <c r="A32" s="489" t="s">
        <v>343</v>
      </c>
      <c r="B32" s="490" t="n">
        <v>0.25</v>
      </c>
      <c r="C32" s="491"/>
      <c r="D32" s="492" t="str">
        <f aca="false">IF(ISERROR(VLOOKUP($A32,'liste reference'!$A$6:$B$1174,2,0)),IF(ISERROR(VLOOKUP($A32,'liste reference'!$B$6:$B$1174,1,0)),"",VLOOKUP($A32,'liste reference'!$B$6:$B$1174,1,0)),VLOOKUP($A32,'liste reference'!$A$6:$B$1174,2,0))</f>
        <v>Spirogyra sp.</v>
      </c>
      <c r="E32" s="493" t="e">
        <f aca="false">IF(D32="",0,VLOOKUP(D32,D$22:D31,1,0))</f>
        <v>#N/A</v>
      </c>
      <c r="F32" s="494" t="n">
        <f aca="false">IF(AND(OR(A32="",A32="!!!!!!"),B32="",C32=""),"",IF(OR(AND(B32="",C32=""),ISERROR(C32+B32)),"!!!",($B32*$B$7+$C32*$C$7)/100))</f>
        <v>0.2125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Spirogyra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1147</v>
      </c>
      <c r="R32" s="484" t="n">
        <f aca="false">IF(ISTEXT(H32),"",(B32*$B$7/100)+(C32*$C$7/100))</f>
        <v>0.2125</v>
      </c>
      <c r="S32" s="485" t="n">
        <f aca="false">IF(OR(ISTEXT(H32),R32=0),"",IF(R32&lt;0.1,1,IF(R32&lt;1,2,IF(R32&lt;10,3,IF(R32&lt;50,4,IF(R32&gt;=50,5,""))))))</f>
        <v>2</v>
      </c>
      <c r="T32" s="485" t="n">
        <f aca="false">IF(ISERROR(S32*J32),0,S32*J32)</f>
        <v>20</v>
      </c>
      <c r="U32" s="485" t="n">
        <f aca="false">IF(ISERROR(S32*J32*K32),0,S32*J32*K32)</f>
        <v>20</v>
      </c>
      <c r="V32" s="501" t="n">
        <f aca="false">IF(ISERROR(S32*K32),0,S32*K32)</f>
        <v>2</v>
      </c>
      <c r="W32" s="502"/>
      <c r="X32" s="503"/>
      <c r="Y32" s="488" t="str">
        <f aca="false">IF(AND(ISNUMBER(F32),OR(A32="",A32="!!!!!!")),"!!!!!!",IF(A32="new.cod","NEWCOD",IF(AND((Z32=""),ISTEXT(A32),A32&lt;&gt;"!!!!!!"),A32,IF(Z32="","",INDEX('liste reference'!$A$6:$A$1174,Z32)))))</f>
        <v>SPISPX</v>
      </c>
      <c r="Z32" s="470" t="n">
        <f aca="false">IF(ISERROR(MATCH(A32,'liste reference'!$A$6:$A$1174,0)),IF(ISERROR(MATCH(A32,'liste reference'!$B$6:$B$1174,0)),"",(MATCH(A32,'liste reference'!$B$6:$B$1174,0))),(MATCH(A32,'liste reference'!$A$6:$A$1174,0)))</f>
        <v>102</v>
      </c>
    </row>
    <row r="33" customFormat="false" ht="12.75" hidden="false" customHeight="false" outlineLevel="0" collapsed="false">
      <c r="A33" s="489" t="s">
        <v>395</v>
      </c>
      <c r="B33" s="490" t="n">
        <v>0.01</v>
      </c>
      <c r="C33" s="491"/>
      <c r="D33" s="492" t="str">
        <f aca="false">IF(ISERROR(VLOOKUP($A33,'liste reference'!$A$6:$B$1174,2,0)),IF(ISERROR(VLOOKUP($A33,'liste reference'!$B$6:$B$1174,1,0)),"",VLOOKUP($A33,'liste reference'!$B$6:$B$1174,1,0)),VLOOKUP($A33,'liste reference'!$A$6:$B$1174,2,0))</f>
        <v>Vaucheria sp.</v>
      </c>
      <c r="E33" s="493" t="e">
        <f aca="false">IF(D33="",0,VLOOKUP(D33,D$22:D32,1,0))</f>
        <v>#N/A</v>
      </c>
      <c r="F33" s="494" t="n">
        <f aca="false">IF(AND(OR(A33="",A33="!!!!!!"),B33="",C33=""),"",IF(OR(AND(B33="",C33=""),ISERROR(C33+B33)),"!!!",($B33*$B$7+$C33*$C$7)/100))</f>
        <v>0.0085</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4</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Vaucheria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1169</v>
      </c>
      <c r="R33" s="484" t="n">
        <f aca="false">IF(ISTEXT(H33),"",(B33*$B$7/100)+(C33*$C$7/100))</f>
        <v>0.0085</v>
      </c>
      <c r="S33" s="485" t="n">
        <f aca="false">IF(OR(ISTEXT(H33),R33=0),"",IF(R33&lt;0.1,1,IF(R33&lt;1,2,IF(R33&lt;10,3,IF(R33&lt;50,4,IF(R33&gt;=50,5,""))))))</f>
        <v>1</v>
      </c>
      <c r="T33" s="485" t="n">
        <f aca="false">IF(ISERROR(S33*J33),0,S33*J33)</f>
        <v>4</v>
      </c>
      <c r="U33" s="485" t="n">
        <f aca="false">IF(ISERROR(S33*J33*K33),0,S33*J33*K33)</f>
        <v>4</v>
      </c>
      <c r="V33" s="501" t="n">
        <f aca="false">IF(ISERROR(S33*K33),0,S33*K33)</f>
        <v>1</v>
      </c>
      <c r="W33" s="502"/>
      <c r="X33" s="503"/>
      <c r="Y33" s="488" t="str">
        <f aca="false">IF(AND(ISNUMBER(F33),OR(A33="",A33="!!!!!!")),"!!!!!!",IF(A33="new.cod","NEWCOD",IF(AND((Z33=""),ISTEXT(A33),A33&lt;&gt;"!!!!!!"),A33,IF(Z33="","",INDEX('liste reference'!$A$6:$A$1174,Z33)))))</f>
        <v>VAUSPX</v>
      </c>
      <c r="Z33" s="470" t="n">
        <f aca="false">IF(ISERROR(MATCH(A33,'liste reference'!$A$6:$A$1174,0)),IF(ISERROR(MATCH(A33,'liste reference'!$B$6:$B$1174,0)),"",(MATCH(A33,'liste reference'!$B$6:$B$1174,0))),(MATCH(A33,'liste reference'!$A$6:$A$1174,0)))</f>
        <v>118</v>
      </c>
    </row>
    <row r="34" customFormat="false" ht="12.75" hidden="false" customHeight="false" outlineLevel="0" collapsed="false">
      <c r="A34" s="489" t="s">
        <v>557</v>
      </c>
      <c r="B34" s="490" t="n">
        <v>0.01</v>
      </c>
      <c r="C34" s="491"/>
      <c r="D34" s="492" t="str">
        <f aca="false">IF(ISERROR(VLOOKUP($A34,'liste reference'!$A$6:$B$1174,2,0)),IF(ISERROR(VLOOKUP($A34,'liste reference'!$B$6:$B$1174,1,0)),"",VLOOKUP($A34,'liste reference'!$B$6:$B$1174,1,0)),VLOOKUP($A34,'liste reference'!$A$6:$B$1174,2,0))</f>
        <v>Pellia sp.</v>
      </c>
      <c r="E34" s="493" t="e">
        <f aca="false">IF(D34="",0,VLOOKUP(D34,D$22:D33,1,0))</f>
        <v>#N/A</v>
      </c>
      <c r="F34" s="494" t="n">
        <f aca="false">IF(AND(OR(A34="",A34="!!!!!!"),B34="",C34=""),"",IF(OR(AND(B34="",C34=""),ISERROR(C34+B34)),"!!!",($B34*$B$7+$C34*$C$7)/100))</f>
        <v>0.0085</v>
      </c>
      <c r="G34" s="495" t="str">
        <f aca="false">IF(A34="","",IF(ISERROR(VLOOKUP($A34,'liste reference'!$A$6:$Q$1174,9,0)),IF(ISERROR(VLOOKUP($A34,'liste reference'!$B$6:$Q$1174,8,0)),"    -",VLOOKUP($A34,'liste reference'!$B$6:$Q$1174,8,0)),VLOOKUP($A34,'liste reference'!$A$6:$Q$1174,9,0)))</f>
        <v>BRh</v>
      </c>
      <c r="H34" s="496" t="n">
        <f aca="false">IF(A34="","x",IF(ISERROR(VLOOKUP($A34,'liste reference'!$A$6:$Q$1174,10,0)),IF(ISERROR(VLOOKUP($A34,'liste reference'!$B$6:$Q$1174,9,0)),"x",VLOOKUP($A34,'liste reference'!$B$6:$Q$1174,9,0)),VLOOKUP($A34,'liste reference'!$A$6:$Q$1174,10,0)))</f>
        <v>4</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Pellia sp.</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1196</v>
      </c>
      <c r="R34" s="484" t="n">
        <f aca="false">IF(ISTEXT(H34),"",(B34*$B$7/100)+(C34*$C$7/100))</f>
        <v>0.0085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PELSPX</v>
      </c>
      <c r="Z34" s="470" t="n">
        <f aca="false">IF(ISERROR(MATCH(A34,'liste reference'!$A$6:$A$1174,0)),IF(ISERROR(MATCH(A34,'liste reference'!$B$6:$B$1174,0)),"",(MATCH(A34,'liste reference'!$B$6:$B$1174,0))),(MATCH(A34,'liste reference'!$A$6:$A$1174,0)))</f>
        <v>170</v>
      </c>
    </row>
    <row r="35" customFormat="false" ht="12.75" hidden="false" customHeight="false" outlineLevel="0" collapsed="false">
      <c r="A35" s="489" t="s">
        <v>723</v>
      </c>
      <c r="B35" s="490" t="n">
        <v>0.01</v>
      </c>
      <c r="C35" s="491"/>
      <c r="D35" s="492" t="str">
        <f aca="false">IF(ISERROR(VLOOKUP($A35,'liste reference'!$A$6:$B$1174,2,0)),IF(ISERROR(VLOOKUP($A35,'liste reference'!$B$6:$B$1174,1,0)),"",VLOOKUP($A35,'liste reference'!$B$6:$B$1174,1,0)),VLOOKUP($A35,'liste reference'!$A$6:$B$1174,2,0))</f>
        <v>Cratoneuron filicinum</v>
      </c>
      <c r="E35" s="493" t="e">
        <f aca="false">IF(D35="",0,VLOOKUP(D35,D$22:D34,1,0))</f>
        <v>#N/A</v>
      </c>
      <c r="F35" s="494" t="n">
        <f aca="false">IF(AND(OR(A35="",A35="!!!!!!"),B35="",C35=""),"",IF(OR(AND(B35="",C35=""),ISERROR(C35+B35)),"!!!",($B35*$B$7+$C35*$C$7)/100))</f>
        <v>0.0085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18</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Cratoneuron filicinum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1233</v>
      </c>
      <c r="R35" s="484" t="n">
        <f aca="false">IF(ISTEXT(H35),"",(B35*$B$7/100)+(C35*$C$7/100))</f>
        <v>0.0085</v>
      </c>
      <c r="S35" s="485" t="n">
        <f aca="false">IF(OR(ISTEXT(H35),R35=0),"",IF(R35&lt;0.1,1,IF(R35&lt;1,2,IF(R35&lt;10,3,IF(R35&lt;50,4,IF(R35&gt;=50,5,""))))))</f>
        <v>1</v>
      </c>
      <c r="T35" s="485" t="n">
        <f aca="false">IF(ISERROR(S35*J35),0,S35*J35)</f>
        <v>18</v>
      </c>
      <c r="U35" s="485" t="n">
        <f aca="false">IF(ISERROR(S35*J35*K35),0,S35*J35*K35)</f>
        <v>54</v>
      </c>
      <c r="V35" s="501" t="n">
        <f aca="false">IF(ISERROR(S35*K35),0,S35*K35)</f>
        <v>3</v>
      </c>
      <c r="W35" s="502"/>
      <c r="X35" s="503"/>
      <c r="Y35" s="488" t="str">
        <f aca="false">IF(AND(ISNUMBER(F35),OR(A35="",A35="!!!!!!")),"!!!!!!",IF(A35="new.cod","NEWCOD",IF(AND((Z35=""),ISTEXT(A35),A35&lt;&gt;"!!!!!!"),A35,IF(Z35="","",INDEX('liste reference'!$A$6:$A$1174,Z35)))))</f>
        <v>CRAFIL</v>
      </c>
      <c r="Z35" s="470" t="n">
        <f aca="false">IF(ISERROR(MATCH(A35,'liste reference'!$A$6:$A$1174,0)),IF(ISERROR(MATCH(A35,'liste reference'!$B$6:$B$1174,0)),"",(MATCH(A35,'liste reference'!$B$6:$B$1174,0))),(MATCH(A35,'liste reference'!$A$6:$A$1174,0)))</f>
        <v>227</v>
      </c>
    </row>
    <row r="36" customFormat="false" ht="12.75" hidden="false" customHeight="false" outlineLevel="0" collapsed="false">
      <c r="A36" s="489" t="s">
        <v>781</v>
      </c>
      <c r="B36" s="490" t="n">
        <v>0.05</v>
      </c>
      <c r="C36" s="491"/>
      <c r="D36" s="492" t="str">
        <f aca="false">IF(ISERROR(VLOOKUP($A36,'liste reference'!$A$6:$B$1174,2,0)),IF(ISERROR(VLOOKUP($A36,'liste reference'!$B$6:$B$1174,1,0)),"",VLOOKUP($A36,'liste reference'!$B$6:$B$1174,1,0)),VLOOKUP($A36,'liste reference'!$A$6:$B$1174,2,0))</f>
        <v>Didymodon spadiceus</v>
      </c>
      <c r="E36" s="493" t="e">
        <f aca="false">IF(D36="",0,VLOOKUP(D36,D$22:D35,1,0))</f>
        <v>#N/A</v>
      </c>
      <c r="F36" s="494" t="n">
        <f aca="false">IF(AND(OR(A36="",A36="!!!!!!"),B36="",C36=""),"",IF(OR(AND(B36="",C36=""),ISERROR(C36+B36)),"!!!",($B36*$B$7+$C36*$C$7)/100))</f>
        <v>0.0425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Didymodon spadiceus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19618</v>
      </c>
      <c r="R36" s="484" t="n">
        <f aca="false">IF(ISTEXT(H36),"",(B36*$B$7/100)+(C36*$C$7/100))</f>
        <v>0.0425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DIDSPA</v>
      </c>
      <c r="Z36" s="470" t="n">
        <f aca="false">IF(ISERROR(MATCH(A36,'liste reference'!$A$6:$A$1174,0)),IF(ISERROR(MATCH(A36,'liste reference'!$B$6:$B$1174,0)),"",(MATCH(A36,'liste reference'!$B$6:$B$1174,0))),(MATCH(A36,'liste reference'!$A$6:$A$1174,0)))</f>
        <v>242</v>
      </c>
    </row>
    <row r="37" customFormat="false" ht="12.75" hidden="false" customHeight="false" outlineLevel="0" collapsed="false">
      <c r="A37" s="489" t="s">
        <v>830</v>
      </c>
      <c r="B37" s="490" t="n">
        <v>0.1</v>
      </c>
      <c r="C37" s="491" t="n">
        <v>0.05</v>
      </c>
      <c r="D37" s="492" t="str">
        <f aca="false">IF(ISERROR(VLOOKUP($A37,'liste reference'!$A$6:$B$1174,2,0)),IF(ISERROR(VLOOKUP($A37,'liste reference'!$B$6:$B$1174,1,0)),"",VLOOKUP($A37,'liste reference'!$B$6:$B$1174,1,0)),VLOOKUP($A37,'liste reference'!$A$6:$B$1174,2,0))</f>
        <v>Fissidens crassipes</v>
      </c>
      <c r="E37" s="493" t="e">
        <f aca="false">IF(D37="",0,VLOOKUP(D37,D$22:D36,1,0))</f>
        <v>#N/A</v>
      </c>
      <c r="F37" s="494" t="n">
        <f aca="false">IF(AND(OR(A37="",A37="!!!!!!"),B37="",C37=""),"",IF(OR(AND(B37="",C37=""),ISERROR(C37+B37)),"!!!",($B37*$B$7+$C37*$C$7)/100))</f>
        <v>0.0925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Fissidens crassipes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1294</v>
      </c>
      <c r="R37" s="484" t="n">
        <f aca="false">IF(ISTEXT(H37),"",(B37*$B$7/100)+(C37*$C$7/100))</f>
        <v>0.0925</v>
      </c>
      <c r="S37" s="485" t="n">
        <f aca="false">IF(OR(ISTEXT(H37),R37=0),"",IF(R37&lt;0.1,1,IF(R37&lt;1,2,IF(R37&lt;10,3,IF(R37&lt;50,4,IF(R37&gt;=50,5,""))))))</f>
        <v>1</v>
      </c>
      <c r="T37" s="485" t="n">
        <f aca="false">IF(ISERROR(S37*J37),0,S37*J37)</f>
        <v>12</v>
      </c>
      <c r="U37" s="485" t="n">
        <f aca="false">IF(ISERROR(S37*J37*K37),0,S37*J37*K37)</f>
        <v>24</v>
      </c>
      <c r="V37" s="501" t="n">
        <f aca="false">IF(ISERROR(S37*K37),0,S37*K37)</f>
        <v>2</v>
      </c>
      <c r="W37" s="502"/>
      <c r="X37" s="503"/>
      <c r="Y37" s="488" t="str">
        <f aca="false">IF(AND(ISNUMBER(F37),OR(A37="",A37="!!!!!!")),"!!!!!!",IF(A37="new.cod","NEWCOD",IF(AND((Z37=""),ISTEXT(A37),A37&lt;&gt;"!!!!!!"),A37,IF(Z37="","",INDEX('liste reference'!$A$6:$A$1174,Z37)))))</f>
        <v>FISCRA</v>
      </c>
      <c r="Z37" s="470" t="n">
        <f aca="false">IF(ISERROR(MATCH(A37,'liste reference'!$A$6:$A$1174,0)),IF(ISERROR(MATCH(A37,'liste reference'!$B$6:$B$1174,0)),"",(MATCH(A37,'liste reference'!$B$6:$B$1174,0))),(MATCH(A37,'liste reference'!$A$6:$A$1174,0)))</f>
        <v>255</v>
      </c>
    </row>
    <row r="38" customFormat="false" ht="12.75" hidden="false" customHeight="false" outlineLevel="0" collapsed="false">
      <c r="A38" s="489" t="s">
        <v>1009</v>
      </c>
      <c r="B38" s="490" t="n">
        <v>0.05</v>
      </c>
      <c r="C38" s="491"/>
      <c r="D38" s="492" t="str">
        <f aca="false">IF(ISERROR(VLOOKUP($A38,'liste reference'!$A$6:$B$1174,2,0)),IF(ISERROR(VLOOKUP($A38,'liste reference'!$B$6:$B$1174,1,0)),"",VLOOKUP($A38,'liste reference'!$B$6:$B$1174,1,0)),VLOOKUP($A38,'liste reference'!$A$6:$B$1174,2,0))</f>
        <v>Palustriella commutata</v>
      </c>
      <c r="E38" s="493" t="e">
        <f aca="false">IF(D38="",0,VLOOKUP(D38,D$22:D37,1,0))</f>
        <v>#N/A</v>
      </c>
      <c r="F38" s="494" t="n">
        <f aca="false">IF(AND(OR(A38="",A38="!!!!!!"),B38="",C38=""),"",IF(OR(AND(B38="",C38=""),ISERROR(C38+B38)),"!!!",($B38*$B$7+$C38*$C$7)/100))</f>
        <v>0.0425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15</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Palustriella commutata</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19903</v>
      </c>
      <c r="R38" s="484" t="n">
        <f aca="false">IF(ISTEXT(H38),"",(B38*$B$7/100)+(C38*$C$7/100))</f>
        <v>0.0425</v>
      </c>
      <c r="S38" s="485" t="n">
        <f aca="false">IF(OR(ISTEXT(H38),R38=0),"",IF(R38&lt;0.1,1,IF(R38&lt;1,2,IF(R38&lt;10,3,IF(R38&lt;50,4,IF(R38&gt;=50,5,""))))))</f>
        <v>1</v>
      </c>
      <c r="T38" s="485" t="n">
        <f aca="false">IF(ISERROR(S38*J38),0,S38*J38)</f>
        <v>15</v>
      </c>
      <c r="U38" s="485" t="n">
        <f aca="false">IF(ISERROR(S38*J38*K38),0,S38*J38*K38)</f>
        <v>30</v>
      </c>
      <c r="V38" s="501" t="n">
        <f aca="false">IF(ISERROR(S38*K38),0,S38*K38)</f>
        <v>2</v>
      </c>
      <c r="W38" s="502"/>
      <c r="X38" s="503"/>
      <c r="Y38" s="488" t="str">
        <f aca="false">IF(AND(ISNUMBER(F38),OR(A38="",A38="!!!!!!")),"!!!!!!",IF(A38="new.cod","NEWCOD",IF(AND((Z38=""),ISTEXT(A38),A38&lt;&gt;"!!!!!!"),A38,IF(Z38="","",INDEX('liste reference'!$A$6:$A$1174,Z38)))))</f>
        <v>PALCOM</v>
      </c>
      <c r="Z38" s="470" t="n">
        <f aca="false">IF(ISERROR(MATCH(A38,'liste reference'!$A$6:$A$1174,0)),IF(ISERROR(MATCH(A38,'liste reference'!$B$6:$B$1174,0)),"",(MATCH(A38,'liste reference'!$B$6:$B$1174,0))),(MATCH(A38,'liste reference'!$A$6:$A$1174,0)))</f>
        <v>309</v>
      </c>
    </row>
    <row r="39" customFormat="false" ht="12.75" hidden="false" customHeight="false" outlineLevel="0" collapsed="false">
      <c r="A39" s="489" t="s">
        <v>1023</v>
      </c>
      <c r="B39" s="490" t="n">
        <v>0.01</v>
      </c>
      <c r="C39" s="491"/>
      <c r="D39" s="492" t="str">
        <f aca="false">IF(ISERROR(VLOOKUP($A39,'liste reference'!$A$6:$B$1174,2,0)),IF(ISERROR(VLOOKUP($A39,'liste reference'!$B$6:$B$1174,1,0)),"",VLOOKUP($A39,'liste reference'!$B$6:$B$1174,1,0)),VLOOKUP($A39,'liste reference'!$A$6:$B$1174,2,0))</f>
        <v>Philonotis caespitosa</v>
      </c>
      <c r="E39" s="493" t="e">
        <f aca="false">IF(D39="",0,VLOOKUP(D39,D$22:D38,1,0))</f>
        <v>#N/A</v>
      </c>
      <c r="F39" s="494" t="n">
        <f aca="false">IF(AND(OR(A39="",A39="!!!!!!"),B39="",C39=""),"",IF(OR(AND(B39="",C39=""),ISERROR(C39+B39)),"!!!",($B39*$B$7+$C39*$C$7)/100))</f>
        <v>0.0085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Philonotis caespitosa</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1254</v>
      </c>
      <c r="R39" s="484" t="n">
        <f aca="false">IF(ISTEXT(H39),"",(B39*$B$7/100)+(C39*$C$7/100))</f>
        <v>0.0085</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PHICAE</v>
      </c>
      <c r="Z39" s="470" t="n">
        <f aca="false">IF(ISERROR(MATCH(A39,'liste reference'!$A$6:$A$1174,0)),IF(ISERROR(MATCH(A39,'liste reference'!$B$6:$B$1174,0)),"",(MATCH(A39,'liste reference'!$B$6:$B$1174,0))),(MATCH(A39,'liste reference'!$A$6:$A$1174,0)))</f>
        <v>312</v>
      </c>
    </row>
    <row r="40" customFormat="false" ht="12.75" hidden="false" customHeight="false" outlineLevel="0" collapsed="false">
      <c r="A40" s="489" t="s">
        <v>1122</v>
      </c>
      <c r="B40" s="490" t="n">
        <v>0.03</v>
      </c>
      <c r="C40" s="491" t="n">
        <v>0.01</v>
      </c>
      <c r="D40" s="492" t="str">
        <f aca="false">IF(ISERROR(VLOOKUP($A40,'liste reference'!$A$6:$B$1174,2,0)),IF(ISERROR(VLOOKUP($A40,'liste reference'!$B$6:$B$1174,1,0)),"",VLOOKUP($A40,'liste reference'!$B$6:$B$1174,1,0)),VLOOKUP($A40,'liste reference'!$A$6:$B$1174,2,0))</f>
        <v>Rhynchostegium riparioides</v>
      </c>
      <c r="E40" s="493" t="e">
        <f aca="false">IF(D40="",0,VLOOKUP(D40,D$22:D39,1,0))</f>
        <v>#N/A</v>
      </c>
      <c r="F40" s="494" t="n">
        <f aca="false">IF(AND(OR(A40="",A40="!!!!!!"),B40="",C40=""),"",IF(OR(AND(B40="",C40=""),ISERROR(C40+B40)),"!!!",($B40*$B$7+$C40*$C$7)/100))</f>
        <v>0.027</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n">
        <f aca="false">IF(ISNUMBER($H40),IF(ISERROR(VLOOKUP($A40,'liste reference'!$A$6:$Q$1174,6,0)),IF(ISERROR(VLOOKUP($A40,'liste reference'!$B$6:$Q$1174,5,0)),"nu",VLOOKUP($A40,'liste reference'!$B$6:$Q$1174,5,0)),VLOOKUP($A40,'liste reference'!$A$6:$Q$1174,6,0)),"nu")</f>
        <v>12</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Rhynchostegium riparioides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31691</v>
      </c>
      <c r="R40" s="484" t="n">
        <f aca="false">IF(ISTEXT(H40),"",(B40*$B$7/100)+(C40*$C$7/100))</f>
        <v>0.027</v>
      </c>
      <c r="S40" s="485" t="n">
        <f aca="false">IF(OR(ISTEXT(H40),R40=0),"",IF(R40&lt;0.1,1,IF(R40&lt;1,2,IF(R40&lt;10,3,IF(R40&lt;50,4,IF(R40&gt;=50,5,""))))))</f>
        <v>1</v>
      </c>
      <c r="T40" s="485" t="n">
        <f aca="false">IF(ISERROR(S40*J40),0,S40*J40)</f>
        <v>12</v>
      </c>
      <c r="U40" s="485" t="n">
        <f aca="false">IF(ISERROR(S40*J40*K40),0,S40*J40*K40)</f>
        <v>12</v>
      </c>
      <c r="V40" s="501" t="n">
        <f aca="false">IF(ISERROR(S40*K40),0,S40*K40)</f>
        <v>1</v>
      </c>
      <c r="W40" s="502"/>
      <c r="X40" s="503"/>
      <c r="Y40" s="488" t="str">
        <f aca="false">IF(AND(ISNUMBER(F40),OR(A40="",A40="!!!!!!")),"!!!!!!",IF(A40="new.cod","NEWCOD",IF(AND((Z40=""),ISTEXT(A40),A40&lt;&gt;"!!!!!!"),A40,IF(Z40="","",INDEX('liste reference'!$A$6:$A$1174,Z40)))))</f>
        <v>RHYRIP</v>
      </c>
      <c r="Z40" s="470" t="n">
        <f aca="false">IF(ISERROR(MATCH(A40,'liste reference'!$A$6:$A$1174,0)),IF(ISERROR(MATCH(A40,'liste reference'!$B$6:$B$1174,0)),"",(MATCH(A40,'liste reference'!$B$6:$B$1174,0))),(MATCH(A40,'liste reference'!$A$6:$A$1174,0)))</f>
        <v>345</v>
      </c>
    </row>
    <row r="41" customFormat="false" ht="12.75" hidden="false" customHeight="false" outlineLevel="0" collapsed="false">
      <c r="A41" s="489" t="s">
        <v>1255</v>
      </c>
      <c r="B41" s="490" t="n">
        <v>0.01</v>
      </c>
      <c r="C41" s="491"/>
      <c r="D41" s="492" t="str">
        <f aca="false">IF(ISERROR(VLOOKUP($A41,'liste reference'!$A$6:$B$1174,2,0)),IF(ISERROR(VLOOKUP($A41,'liste reference'!$B$6:$B$1174,1,0)),"",VLOOKUP($A41,'liste reference'!$B$6:$B$1174,1,0)),VLOOKUP($A41,'liste reference'!$A$6:$B$1174,2,0))</f>
        <v>Equisetum arvense</v>
      </c>
      <c r="E41" s="493" t="e">
        <f aca="false">IF(D41="",0,VLOOKUP(D41,D$22:D40,1,0))</f>
        <v>#N/A</v>
      </c>
      <c r="F41" s="494" t="n">
        <f aca="false">IF(AND(OR(A41="",A41="!!!!!!"),B41="",C41=""),"",IF(OR(AND(B41="",C41=""),ISERROR(C41+B41)),"!!!",($B41*$B$7+$C41*$C$7)/100))</f>
        <v>0.0085</v>
      </c>
      <c r="G41" s="495" t="str">
        <f aca="false">IF(A41="","",IF(ISERROR(VLOOKUP($A41,'liste reference'!$A$6:$Q$1174,9,0)),IF(ISERROR(VLOOKUP($A41,'liste reference'!$B$6:$Q$1174,8,0)),"    -",VLOOKUP($A41,'liste reference'!$B$6:$Q$1174,8,0)),VLOOKUP($A41,'liste reference'!$A$6:$Q$1174,9,0)))</f>
        <v>PTE</v>
      </c>
      <c r="H41" s="496" t="n">
        <f aca="false">IF(A41="","x",IF(ISERROR(VLOOKUP($A41,'liste reference'!$A$6:$Q$1174,10,0)),IF(ISERROR(VLOOKUP($A41,'liste reference'!$B$6:$Q$1174,9,0)),"x",VLOOKUP($A41,'liste reference'!$B$6:$Q$1174,9,0)),VLOOKUP($A41,'liste reference'!$A$6:$Q$1174,10,0)))</f>
        <v>6</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Equisetum arvense</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1384</v>
      </c>
      <c r="R41" s="484" t="n">
        <f aca="false">IF(ISTEXT(H41),"",(B41*$B$7/100)+(C41*$C$7/100))</f>
        <v>0.0085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EQUARV</v>
      </c>
      <c r="Z41" s="470" t="n">
        <f aca="false">IF(ISERROR(MATCH(A41,'liste reference'!$A$6:$A$1174,0)),IF(ISERROR(MATCH(A41,'liste reference'!$B$6:$B$1174,0)),"",(MATCH(A41,'liste reference'!$B$6:$B$1174,0))),(MATCH(A41,'liste reference'!$A$6:$A$1174,0)))</f>
        <v>385</v>
      </c>
    </row>
    <row r="42" customFormat="false" ht="12.75" hidden="false" customHeight="false" outlineLevel="0" collapsed="false">
      <c r="A42" s="489" t="s">
        <v>1932</v>
      </c>
      <c r="B42" s="490" t="n">
        <v>0.03</v>
      </c>
      <c r="C42" s="491" t="n">
        <v>0.1</v>
      </c>
      <c r="D42" s="492" t="str">
        <f aca="false">IF(ISERROR(VLOOKUP($A42,'liste reference'!$A$6:$B$1174,2,0)),IF(ISERROR(VLOOKUP($A42,'liste reference'!$B$6:$B$1174,1,0)),"",VLOOKUP($A42,'liste reference'!$B$6:$B$1174,1,0)),VLOOKUP($A42,'liste reference'!$A$6:$B$1174,2,0))</f>
        <v>Agrostis stolonifera</v>
      </c>
      <c r="E42" s="493" t="e">
        <f aca="false">IF(D42="",0,VLOOKUP(D42,D$22:D41,1,0))</f>
        <v>#N/A</v>
      </c>
      <c r="F42" s="494" t="n">
        <f aca="false">IF(AND(OR(A42="",A42="!!!!!!"),B42="",C42=""),"",IF(OR(AND(B42="",C42=""),ISERROR(C42+B42)),"!!!",($B42*$B$7+$C42*$C$7)/100))</f>
        <v>0.0405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Agrostis stolonifera</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1543</v>
      </c>
      <c r="R42" s="484" t="n">
        <f aca="false">IF(ISTEXT(H42),"",(B42*$B$7/100)+(C42*$C$7/100))</f>
        <v>0.0405</v>
      </c>
      <c r="S42" s="485" t="n">
        <f aca="false">IF(OR(ISTEXT(H42),R42=0),"",IF(R42&lt;0.1,1,IF(R42&lt;1,2,IF(R42&lt;10,3,IF(R42&lt;50,4,IF(R42&gt;=50,5,""))))))</f>
        <v>1</v>
      </c>
      <c r="T42" s="485" t="n">
        <f aca="false">IF(ISERROR(S42*J42),0,S42*J42)</f>
        <v>10</v>
      </c>
      <c r="U42" s="485" t="n">
        <f aca="false">IF(ISERROR(S42*J42*K42),0,S42*J42*K42)</f>
        <v>10</v>
      </c>
      <c r="V42" s="501" t="n">
        <f aca="false">IF(ISERROR(S42*K42),0,S42*K42)</f>
        <v>1</v>
      </c>
      <c r="W42" s="502"/>
      <c r="X42" s="503"/>
      <c r="Y42" s="488" t="str">
        <f aca="false">IF(AND(ISNUMBER(F42),OR(A42="",A42="!!!!!!")),"!!!!!!",IF(A42="new.cod","NEWCOD",IF(AND((Z42=""),ISTEXT(A42),A42&lt;&gt;"!!!!!!"),A42,IF(Z42="","",INDEX('liste reference'!$A$6:$A$1174,Z42)))))</f>
        <v>AGRSTO</v>
      </c>
      <c r="Z42" s="470" t="n">
        <f aca="false">IF(ISERROR(MATCH(A42,'liste reference'!$A$6:$A$1174,0)),IF(ISERROR(MATCH(A42,'liste reference'!$B$6:$B$1174,0)),"",(MATCH(A42,'liste reference'!$B$6:$B$1174,0))),(MATCH(A42,'liste reference'!$A$6:$A$1174,0)))</f>
        <v>623</v>
      </c>
    </row>
    <row r="43" customFormat="false" ht="12.75" hidden="false" customHeight="false" outlineLevel="0" collapsed="false">
      <c r="A43" s="489" t="s">
        <v>2136</v>
      </c>
      <c r="B43" s="490" t="n">
        <v>0.01</v>
      </c>
      <c r="C43" s="491"/>
      <c r="D43" s="492" t="str">
        <f aca="false">IF(ISERROR(VLOOKUP($A43,'liste reference'!$A$6:$B$1174,2,0)),IF(ISERROR(VLOOKUP($A43,'liste reference'!$B$6:$B$1174,1,0)),"",VLOOKUP($A43,'liste reference'!$B$6:$B$1174,1,0)),VLOOKUP($A43,'liste reference'!$A$6:$B$1174,2,0))</f>
        <v>Mentha aquatica</v>
      </c>
      <c r="E43" s="493" t="e">
        <f aca="false">IF(D43="",0,VLOOKUP(D43,D$22:D42,1,0))</f>
        <v>#N/A</v>
      </c>
      <c r="F43" s="494" t="n">
        <f aca="false">IF(AND(OR(A43="",A43="!!!!!!"),B43="",C43=""),"",IF(OR(AND(B43="",C43=""),ISERROR(C43+B43)),"!!!",($B43*$B$7+$C43*$C$7)/100))</f>
        <v>0.0085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Mentha aquatica</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1791</v>
      </c>
      <c r="R43" s="484" t="n">
        <f aca="false">IF(ISTEXT(H43),"",(B43*$B$7/100)+(C43*$C$7/100))</f>
        <v>0.0085</v>
      </c>
      <c r="S43" s="485" t="n">
        <f aca="false">IF(OR(ISTEXT(H43),R43=0),"",IF(R43&lt;0.1,1,IF(R43&lt;1,2,IF(R43&lt;10,3,IF(R43&lt;50,4,IF(R43&gt;=50,5,""))))))</f>
        <v>1</v>
      </c>
      <c r="T43" s="485" t="n">
        <f aca="false">IF(ISERROR(S43*J43),0,S43*J43)</f>
        <v>12</v>
      </c>
      <c r="U43" s="485" t="n">
        <f aca="false">IF(ISERROR(S43*J43*K43),0,S43*J43*K43)</f>
        <v>12</v>
      </c>
      <c r="V43" s="501" t="n">
        <f aca="false">IF(ISERROR(S43*K43),0,S43*K43)</f>
        <v>1</v>
      </c>
      <c r="W43" s="502"/>
      <c r="X43" s="503"/>
      <c r="Y43" s="488" t="str">
        <f aca="false">IF(AND(ISNUMBER(F43),OR(A43="",A43="!!!!!!")),"!!!!!!",IF(A43="new.cod","NEWCOD",IF(AND((Z43=""),ISTEXT(A43),A43&lt;&gt;"!!!!!!"),A43,IF(Z43="","",INDEX('liste reference'!$A$6:$A$1174,Z43)))))</f>
        <v>MENAQU</v>
      </c>
      <c r="Z43" s="470" t="n">
        <f aca="false">IF(ISERROR(MATCH(A43,'liste reference'!$A$6:$A$1174,0)),IF(ISERROR(MATCH(A43,'liste reference'!$B$6:$B$1174,0)),"",(MATCH(A43,'liste reference'!$B$6:$B$1174,0))),(MATCH(A43,'liste reference'!$A$6:$A$1174,0)))</f>
        <v>694</v>
      </c>
    </row>
    <row r="44" customFormat="false" ht="12.75" hidden="false" customHeight="false" outlineLevel="0" collapsed="false">
      <c r="A44" s="489" t="s">
        <v>2138</v>
      </c>
      <c r="B44" s="490"/>
      <c r="C44" s="491" t="n">
        <v>0.05</v>
      </c>
      <c r="D44" s="492" t="str">
        <f aca="false">IF(ISERROR(VLOOKUP($A44,'liste reference'!$A$6:$B$1174,2,0)),IF(ISERROR(VLOOKUP($A44,'liste reference'!$B$6:$B$1174,1,0)),"",VLOOKUP($A44,'liste reference'!$B$6:$B$1174,1,0)),VLOOKUP($A44,'liste reference'!$A$6:$B$1174,2,0))</f>
        <v>Mentha longifolia</v>
      </c>
      <c r="E44" s="493" t="e">
        <f aca="false">IF(D44="",0,VLOOKUP(D44,D$22:D43,1,0))</f>
        <v>#N/A</v>
      </c>
      <c r="F44" s="494" t="n">
        <f aca="false">IF(AND(OR(A44="",A44="!!!!!!"),B44="",C44=""),"",IF(OR(AND(B44="",C44=""),ISERROR(C44+B44)),"!!!",($B44*$B$7+$C44*$C$7)/100))</f>
        <v>0.0075</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Mentha longifolia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19856</v>
      </c>
      <c r="R44" s="484" t="n">
        <f aca="false">IF(ISTEXT(H44),"",(B44*$B$7/100)+(C44*$C$7/100))</f>
        <v>0.0075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MENLON</v>
      </c>
      <c r="Z44" s="470" t="n">
        <f aca="false">IF(ISERROR(MATCH(A44,'liste reference'!$A$6:$A$1174,0)),IF(ISERROR(MATCH(A44,'liste reference'!$B$6:$B$1174,0)),"",(MATCH(A44,'liste reference'!$B$6:$B$1174,0))),(MATCH(A44,'liste reference'!$A$6:$A$1174,0)))</f>
        <v>695</v>
      </c>
    </row>
    <row r="45" customFormat="false" ht="12.75" hidden="false" customHeight="false" outlineLevel="0" collapsed="false">
      <c r="A45" s="489" t="s">
        <v>2728</v>
      </c>
      <c r="B45" s="490"/>
      <c r="C45" s="491" t="n">
        <v>0.01</v>
      </c>
      <c r="D45" s="492" t="str">
        <f aca="false">IF(ISERROR(VLOOKUP($A45,'liste reference'!$A$6:$B$1174,2,0)),IF(ISERROR(VLOOKUP($A45,'liste reference'!$B$6:$B$1174,1,0)),"",VLOOKUP($A45,'liste reference'!$B$6:$B$1174,1,0)),VLOOKUP($A45,'liste reference'!$A$6:$B$1174,2,0))</f>
        <v>Molinia caerulea subsp. arundinacea </v>
      </c>
      <c r="E45" s="493" t="e">
        <f aca="false">IF(D45="",0,VLOOKUP(D45,D$22:D44,1,0))</f>
        <v>#N/A</v>
      </c>
      <c r="F45" s="494" t="n">
        <f aca="false">IF(AND(OR(A45="",A45="!!!!!!"),B45="",C45=""),"",IF(OR(AND(B45="",C45=""),ISERROR(C45+B45)),"!!!",($B45*$B$7+$C45*$C$7)/100))</f>
        <v>0.0015</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Molinia caerulea subsp. arundinacea </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31584</v>
      </c>
      <c r="R45" s="484" t="n">
        <f aca="false">IF(ISTEXT(H45),"",(B45*$B$7/100)+(C45*$C$7/100))</f>
        <v>0.0015</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MOLCAA</v>
      </c>
      <c r="Z45" s="470" t="n">
        <f aca="false">IF(ISERROR(MATCH(A45,'liste reference'!$A$6:$A$1174,0)),IF(ISERROR(MATCH(A45,'liste reference'!$B$6:$B$1174,0)),"",(MATCH(A45,'liste reference'!$B$6:$B$1174,0))),(MATCH(A45,'liste reference'!$A$6:$A$1174,0)))</f>
        <v>914</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7.0045</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LOUP</v>
      </c>
      <c r="B84" s="453" t="str">
        <f aca="false">C3</f>
        <v>LOUP A COURMES</v>
      </c>
      <c r="C84" s="525" t="str">
        <f aca="false">A4</f>
        <v>(Date)</v>
      </c>
      <c r="D84" s="526" t="n">
        <f aca="false">IF(OR(ISERROR(SUM($U$23:$U$82)/SUM($V$23:$V$82)),F7&lt;&gt;100),-1,SUM($U$23:$U$82)/SUM($V$23:$V$82))</f>
        <v>11.8148148148148</v>
      </c>
      <c r="E84" s="527" t="n">
        <f aca="false">O13</f>
        <v>23</v>
      </c>
      <c r="F84" s="453" t="n">
        <f aca="false">O14</f>
        <v>15</v>
      </c>
      <c r="G84" s="453" t="n">
        <f aca="false">O15</f>
        <v>7</v>
      </c>
      <c r="H84" s="453" t="n">
        <f aca="false">O16</f>
        <v>7</v>
      </c>
      <c r="I84" s="453" t="n">
        <f aca="false">O17</f>
        <v>1</v>
      </c>
      <c r="J84" s="528" t="n">
        <f aca="false">O8</f>
        <v>11.4</v>
      </c>
      <c r="K84" s="529" t="n">
        <f aca="false">O9</f>
        <v>3.38230690505755</v>
      </c>
      <c r="L84" s="530" t="n">
        <f aca="false">O10</f>
        <v>4</v>
      </c>
      <c r="M84" s="530" t="n">
        <f aca="false">O11</f>
        <v>18</v>
      </c>
      <c r="N84" s="529" t="n">
        <f aca="false">P8</f>
        <v>1.6</v>
      </c>
      <c r="O84" s="529" t="n">
        <f aca="false">P9</f>
        <v>0.611010092660779</v>
      </c>
      <c r="P84" s="530" t="n">
        <f aca="false">P10</f>
        <v>1</v>
      </c>
      <c r="Q84" s="530" t="n">
        <f aca="false">P11</f>
        <v>3</v>
      </c>
      <c r="R84" s="530" t="n">
        <f aca="false">F21</f>
        <v>7.0045</v>
      </c>
      <c r="S84" s="530" t="n">
        <f aca="false">L11</f>
        <v>0</v>
      </c>
      <c r="T84" s="530" t="n">
        <f aca="false">L12</f>
        <v>11</v>
      </c>
      <c r="U84" s="530" t="n">
        <f aca="false">L13</f>
        <v>7</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18</v>
      </c>
      <c r="U87" s="281"/>
      <c r="V87" s="281"/>
    </row>
    <row r="88" customFormat="false" ht="12.75" hidden="true" customHeight="false" outlineLevel="0" collapsed="false">
      <c r="C88" s="534"/>
      <c r="D88" s="534"/>
      <c r="E88" s="534"/>
      <c r="R88" s="281" t="s">
        <v>3452</v>
      </c>
      <c r="S88" s="281"/>
      <c r="T88" s="536" t="n">
        <f aca="false">VLOOKUP($T$91,($A$23:$U$82),21,0)</f>
        <v>18</v>
      </c>
      <c r="U88" s="281"/>
      <c r="V88" s="281" t="n">
        <f aca="false">COUNTIF(V23:V82,T89)</f>
        <v>2</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12.5416666666667</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3390</v>
      </c>
      <c r="G24" s="8"/>
      <c r="H24" s="575" t="s">
        <v>3390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jlam</cp:lastModifiedBy>
  <cp:lastPrinted>2015-05-20T10:23:22Z</cp:lastPrinted>
  <dcterms:modified xsi:type="dcterms:W3CDTF">2018-03-16T15:40:47Z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