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oup à Tourette sur L."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6" name="_xlnm.Print_Area" vbProcedure="false">'Loup à Tourette sur L.'!$A$1:$Q$82</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'Loup à Tourette sur L.'!$A$1:$C$1415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<sst xmlns="http://schemas.openxmlformats.org/spreadsheetml/2006/main" count="9999" uniqueCount="3494">
  <si>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</si>
  <si>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</si>
  <si>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</si>
  <si>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</si>
  <si>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</si>
  <si>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</si>
  <si>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</si>
  <si>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</si>
  <si>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</si>
  <si>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</si>
  <si>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</si>
  <si>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</si>
  <si>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</si>
  <si>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</si>
  <si>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</si>
  <si>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</si>
  <si>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</si>
  <si>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</si>
  <si>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</si>
  <si>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</si>
  <si>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</si>
  <si>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</si>
  <si>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</si>
  <si>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</si>
  <si>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</si>
  <si>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</si>
  <si>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</si>
  <si>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</si>
  <si>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</si>
  <si>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</si>
  <si>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</si>
  <si>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</si>
  <si>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</si>
  <si>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</si>
  <si>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</si>
  <si>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</si>
  <si>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</si>
  <si>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</si>
  <si>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</si>
  <si>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</si>
  <si>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</si>
  <si>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</si>
  <si>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</si>
  <si>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</si>
  <si>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</si>
  <si>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</si>
  <si>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</si>
  <si>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</si>
  <si>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</si>
  <si>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</si>
  <si>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</si>
  <si>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</si>
  <si>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</si>
  <si>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</si>
  <si>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</si>
  <si>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</si>
  <si>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</si>
  <si>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</si>
  <si>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</si>
  <si>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</si>
  <si>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</si>
  <si>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</si>
  <si>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</si>
  <si>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</si>
  <si>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</si>
  <si>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</si>
  <si>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</si>
  <si>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</si>
  <si>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</si>
  <si>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</si>
  <si>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</si>
  <si>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</si>
  <si>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</si>
  <si>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</si>
  <si>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</si>
  <si>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</si>
  <si>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</si>
  <si>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</si>
  <si>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</si>
  <si>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</si>
  <si>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</si>
  <si>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</si>
  <si>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</si>
  <si>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</si>
  <si>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</si>
  <si>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</si>
  <si>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</si>
  <si>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</si>
  <si>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</si>
  <si>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</si>
  <si>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</si>
  <si>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</si>
  <si>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</si>
  <si>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</si>
  <si>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</si>
  <si>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</si>
  <si>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</si>
  <si>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</si>
  <si>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</si>
  <si>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</si>
  <si>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</si>
  <si>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</si>
  <si>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</si>
  <si>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</si>
  <si>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</si>
  <si>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</si>
  <si>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</si>
  <si>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</si>
  <si>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</si>
  <si>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</si>
  <si>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</si>
  <si>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</si>
  <si>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</si>
  <si>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</si>
  <si>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</si>
  <si>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</si>
  <si>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</si>
  <si>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</si>
  <si>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</si>
  <si>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</si>
  <si>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</si>
  <si>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</si>
  <si>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</si>
  <si>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</si>
  <si>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</si>
  <si>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</si>
  <si>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</si>
  <si>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</si>
  <si>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</si>
  <si>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</si>
  <si>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</si>
  <si>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</si>
  <si>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</si>
  <si>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</si>
  <si>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</si>
  <si>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</si>
  <si>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</si>
  <si>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</si>
  <si>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</si>
  <si>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</si>
  <si>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</si>
  <si>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</si>
  <si>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</si>
  <si>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</si>
  <si>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</si>
  <si>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</si>
  <si>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</si>
  <si>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</si>
  <si>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</si>
  <si>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</si>
  <si>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</si>
  <si>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</si>
  <si>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</si>
  <si>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</si>
  <si>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</si>
  <si>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</si>
  <si>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</si>
  <si>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</si>
  <si>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</si>
  <si>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</si>
  <si>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</si>
  <si>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</si>
  <si>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</si>
  <si>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</si>
  <si>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</si>
  <si>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</si>
  <si>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</si>
  <si>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</si>
  <si>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</si>
  <si>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</si>
  <si>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</si>
  <si>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</si>
  <si>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</si>
  <si>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</si>
  <si>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</si>
  <si>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</si>
  <si>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</si>
  <si>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</si>
  <si>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</si>
  <si>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</si>
  <si>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</si>
  <si>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</si>
  <si>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</si>
  <si>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</si>
  <si>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</si>
  <si>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</si>
  <si>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</si>
  <si>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</si>
  <si>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</si>
  <si>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</si>
  <si>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</si>
  <si>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</si>
  <si>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</si>
  <si>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</si>
  <si>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</si>
  <si>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</si>
  <si>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</si>
  <si>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</si>
  <si>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</si>
  <si>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</si>
  <si>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</si>
  <si>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</si>
  <si>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</si>
  <si>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</si>
  <si>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</si>
  <si>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</si>
  <si>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</si>
  <si>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</si>
  <si>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</si>
  <si>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</si>
  <si>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</si>
  <si>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</si>
  <si>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</si>
  <si>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</si>
  <si>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</si>
  <si>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</si>
  <si>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</si>
  <si>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</si>
  <si>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</si>
  <si>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</si>
  <si>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</si>
  <si>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</si>
  <si>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</si>
  <si>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</si>
  <si>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</si>
  <si>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</si>
  <si>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</si>
  <si>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</si>
  <si>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</si>
  <si>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</si>
  <si>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</si>
  <si>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</si>
  <si>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</si>
  <si>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</si>
  <si>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</si>
  <si>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</si>
  <si>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</si>
  <si>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</si>
  <si>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</si>
  <si>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</si>
  <si>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</si>
  <si>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</si>
  <si>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</si>
  <si>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</si>
  <si>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</si>
  <si>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</si>
  <si>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</si>
  <si>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</si>
  <si>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</si>
  <si>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</si>
  <si>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</si>
  <si>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</si>
  <si>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</si>
  <si>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</si>
  <si>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</si>
  <si>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</si>
  <si>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</si>
  <si>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</si>
  <si>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</si>
  <si>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</si>
  <si>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</si>
  <si>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</si>
  <si>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</si>
  <si>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</si>
  <si>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</si>
  <si>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</si>
  <si>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</si>
  <si>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</si>
  <si>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</si>
  <si>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</si>
  <si>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</si>
  <si>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</si>
  <si>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</si>
  <si>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</si>
  <si>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</si>
  <si>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</si>
  <si>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</si>
  <si>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</si>
  <si>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</si>
  <si>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</si>
  <si>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</si>
  <si>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</si>
  <si>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</si>
  <si>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</si>
  <si>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</si>
  <si>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</si>
  <si>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</si>
  <si>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</si>
  <si>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</si>
  <si>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</si>
  <si>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</si>
  <si>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</si>
  <si>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</si>
  <si>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</si>
  <si>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</si>
  <si>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</si>
  <si>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</si>
  <si>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</si>
  <si>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</si>
  <si>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</si>
  <si>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</si>
  <si>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</si>
  <si>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</si>
  <si>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</si>
  <si>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</si>
  <si>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</si>
  <si>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</si>
  <si>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</si>
  <si>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</si>
  <si>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</si>
  <si>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</si>
  <si>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</si>
  <si>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</si>
  <si>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</si>
  <si>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</si>
  <si>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</si>
  <si>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</si>
  <si>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</si>
  <si>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</si>
  <si>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</si>
  <si>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</si>
  <si>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</si>
  <si>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</si>
  <si>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</si>
  <si>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</si>
  <si>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</si>
  <si>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</si>
  <si>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</si>
  <si>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</si>
  <si>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</si>
  <si>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</si>
  <si>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</si>
  <si>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</si>
  <si>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</si>
  <si>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</si>
  <si>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</si>
  <si>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</si>
  <si>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</si>
  <si>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</si>
  <si>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</si>
  <si>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</si>
  <si>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</si>
  <si>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</si>
  <si>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</si>
  <si>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</si>
  <si>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</si>
  <si>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</si>
  <si>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</si>
  <si>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</si>
  <si>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</si>
  <si>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</si>
  <si>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</si>
  <si>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</si>
  <si>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</si>
  <si>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</si>
  <si>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</si>
  <si>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</si>
  <si>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</si>
  <si>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</si>
  <si>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</si>
  <si>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</si>
  <si>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</si>
  <si>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</si>
  <si>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</si>
  <si>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</si>
  <si>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</si>
  <si>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</si>
  <si>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</si>
  <si>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</si>
  <si>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</si>
  <si>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</si>
  <si>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</si>
  <si>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</si>
  <si>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</si>
  <si>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</si>
  <si>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</si>
  <si>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</si>
  <si>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</si>
  <si>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</si>
  <si>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</si>
  <si>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</si>
  <si>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</si>
  <si>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</si>
  <si>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</si>
  <si>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</si>
  <si>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</si>
  <si>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</si>
  <si>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</si>
  <si>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</si>
  <si>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</si>
  <si>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</si>
  <si>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</si>
  <si>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</si>
  <si>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</si>
  <si>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</si>
  <si>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</si>
  <si>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</si>
  <si>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</si>
  <si>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</si>
  <si>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</si>
  <si>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</si>
  <si>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</si>
  <si>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</si>
  <si>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</si>
  <si>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</si>
  <si>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</si>
  <si>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</si>
  <si>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</si>
  <si>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</si>
  <si>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</si>
  <si>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</si>
  <si>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</si>
  <si>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</si>
  <si>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</si>
  <si>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</si>
  <si>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</si>
  <si>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</si>
  <si>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</si>
  <si>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</si>
  <si>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</si>
  <si>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</si>
  <si>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</si>
  <si>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</si>
  <si>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</si>
  <si>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</si>
  <si>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</si>
  <si>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</si>
  <si>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</si>
  <si>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</si>
  <si>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</si>
  <si>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</si>
  <si>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</si>
  <si>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</si>
  <si>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</si>
  <si>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</si>
  <si>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</si>
  <si>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</si>
  <si>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</si>
  <si>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</si>
  <si>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</si>
  <si>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</si>
  <si>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</si>
  <si>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</si>
  <si>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</si>
  <si>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</si>
  <si>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</si>
  <si>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</si>
  <si>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</si>
  <si>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</si>
  <si>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</si>
  <si>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</si>
  <si>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</si>
  <si>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</si>
  <si>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</si>
  <si>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</si>
  <si>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</si>
  <si>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</si>
  <si>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</si>
  <si>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</si>
  <si>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</si>
  <si>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</si>
  <si>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</si>
  <si>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</si>
  <si>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</si>
  <si>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</si>
  <si>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</si>
  <si>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</si>
  <si>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</si>
  <si>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</si>
  <si>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</si>
  <si>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</si>
  <si>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</si>
  <si>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</si>
  <si>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</si>
  <si>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</si>
  <si>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</si>
  <si>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</si>
  <si>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</si>
  <si>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</si>
  <si>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</si>
  <si>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</si>
  <si>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</si>
  <si>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</si>
  <si>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</si>
  <si>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</si>
  <si>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</si>
  <si>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</si>
  <si>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</si>
  <si>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</si>
  <si>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</si>
  <si>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</si>
  <si>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</si>
  <si>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</si>
  <si>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</si>
  <si>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</si>
  <si>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</si>
  <si>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</si>
  <si>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</si>
  <si>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</si>
  <si>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</si>
  <si>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</si>
  <si>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</si>
  <si>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</si>
  <si>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</si>
  <si>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</si>
  <si>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</si>
  <si>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</si>
  <si>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</si>
  <si>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</si>
  <si>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</si>
  <si>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</si>
  <si>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</si>
  <si>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</si>
  <si>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</si>
  <si>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</si>
  <si>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</si>
  <si>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</si>
  <si>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</si>
  <si>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</si>
  <si>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</si>
  <si>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</si>
  <si>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</si>
  <si>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</si>
  <si>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</si>
  <si>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</si>
  <si>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</si>
  <si>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</si>
  <si>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</si>
  <si>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</si>
  <si>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</si>
  <si>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</si>
  <si>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</si>
  <si>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</si>
  <si>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</si>
  <si>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</si>
  <si>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</si>
  <si>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</si>
  <si>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</si>
  <si>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</si>
  <si>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</si>
  <si>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</si>
  <si>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</si>
  <si>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</si>
  <si>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</si>
  <si>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</si>
  <si>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</si>
  <si>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</si>
  <si>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</si>
  <si>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</si>
  <si>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</si>
  <si>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</si>
  <si>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</si>
  <si>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</si>
  <si>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</si>
  <si>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</si>
  <si>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</si>
  <si>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</si>
  <si>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</si>
  <si>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</si>
  <si>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</si>
  <si>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</si>
  <si>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</si>
  <si>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</si>
  <si>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</si>
  <si>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</si>
  <si>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</si>
  <si>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</si>
  <si>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</si>
  <si>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</si>
  <si>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</si>
  <si>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</si>
  <si>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</si>
  <si>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</si>
  <si>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</si>
  <si>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</si>
  <si>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</si>
  <si>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</si>
  <si>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</si>
  <si>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</si>
  <si>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</si>
  <si>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</si>
  <si>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</si>
  <si>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</si>
  <si>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</si>
  <si>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</si>
  <si>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</si>
  <si>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</si>
  <si>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</si>
  <si>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</si>
  <si>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</si>
  <si>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</si>
  <si>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</si>
  <si>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</si>
  <si>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</si>
  <si>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</si>
  <si>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</si>
  <si>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</si>
  <si>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</si>
  <si>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</si>
  <si>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</si>
  <si>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</si>
  <si>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</si>
  <si>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</si>
  <si>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</si>
  <si>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</si>
  <si>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</si>
  <si>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</si>
  <si>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</si>
  <si>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</si>
  <si>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</si>
  <si>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</si>
  <si>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</si>
  <si>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</si>
  <si>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</si>
  <si>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</si>
  <si>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</si>
  <si>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</si>
  <si>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</si>
  <si>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</si>
  <si>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</si>
  <si>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</si>
  <si>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</si>
  <si>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</si>
  <si>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</si>
  <si>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</si>
  <si>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</si>
  <si>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</si>
  <si>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</si>
  <si>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</si>
  <si>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</si>
  <si>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</si>
  <si>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</si>
  <si>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</si>
  <si>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</si>
  <si>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</si>
  <si>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</si>
  <si>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</si>
  <si>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</si>
  <si>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</si>
  <si>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</si>
  <si>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</si>
  <si>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</si>
  <si>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</si>
  <si>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</si>
  <si>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</si>
  <si>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</si>
  <si>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</si>
  <si>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</si>
  <si>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</si>
  <si>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</si>
  <si>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</si>
  <si>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</si>
  <si>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</si>
  <si>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</si>
  <si>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</si>
  <si>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</si>
  <si>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</si>
  <si>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</si>
  <si>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</si>
  <si>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</si>
  <si>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</si>
  <si>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</si>
  <si>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</si>
  <si>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</si>
  <si>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</si>
  <si>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</si>
  <si>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</si>
  <si>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</si>
  <si>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</si>
  <si>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</si>
  <si>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</si>
  <si>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</si>
  <si>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</si>
  <si>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</si>
  <si>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</si>
  <si>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</si>
  <si>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</si>
  <si>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</si>
  <si>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</si>
  <si>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</si>
  <si>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</si>
  <si>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</si>
  <si>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</si>
  <si>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</si>
  <si>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</si>
  <si>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</si>
  <si>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</si>
  <si>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</si>
  <si>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</si>
  <si>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</si>
  <si>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</si>
  <si>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</si>
  <si>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</si>
  <si>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</si>
  <si>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</si>
  <si>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</si>
  <si>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</si>
  <si>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</si>
  <si>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</si>
  <si>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</si>
  <si>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</si>
  <si>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</si>
  <si>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</si>
  <si>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</si>
  <si>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</si>
  <si>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</si>
  <si>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</si>
  <si>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</si>
  <si>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</si>
  <si>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</si>
  <si>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</si>
  <si>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</si>
  <si>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</si>
  <si>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</si>
  <si>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</si>
  <si>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</si>
  <si>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</si>
  <si>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</si>
  <si>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</si>
  <si>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</si>
  <si>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</si>
  <si>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</si>
  <si>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</si>
  <si>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</si>
  <si>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</si>
  <si>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</si>
  <si>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</si>
  <si>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</si>
  <si>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</si>
  <si>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</si>
  <si>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</si>
  <si>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</si>
  <si>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</si>
  <si>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</si>
  <si>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</si>
  <si>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</si>
  <si>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</si>
  <si>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</si>
  <si>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</si>
  <si>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</si>
  <si>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</si>
  <si>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</si>
  <si>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</si>
  <si>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</si>
  <si>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</si>
  <si>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</si>
  <si>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</si>
  <si>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</si>
  <si>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</si>
  <si>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</si>
  <si>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</si>
  <si>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</si>
  <si>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</si>
  <si>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</si>
  <si>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</si>
  <si>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</si>
  <si>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</si>
  <si>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</si>
  <si>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</si>
  <si>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</si>
  <si>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</si>
  <si>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</si>
  <si>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</si>
  <si>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</si>
  <si>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</si>
  <si>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</si>
  <si>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</si>
  <si>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</si>
  <si>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</si>
  <si>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</si>
  <si>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</si>
  <si>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</si>
  <si>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</si>
  <si>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</si>
  <si>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</si>
  <si>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</si>
  <si>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</si>
  <si>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</si>
  <si>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</si>
  <si>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</si>
  <si>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</si>
  <si>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</si>
  <si>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</si>
  <si>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</si>
  <si>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</si>
  <si>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</si>
  <si>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</si>
  <si>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</si>
  <si>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</si>
  <si>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</si>
  <si>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</si>
  <si>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</si>
  <si>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</si>
  <si>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</si>
  <si>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</si>
  <si>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</si>
  <si>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</si>
  <si>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</si>
  <si>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</si>
  <si>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</si>
  <si>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</si>
  <si>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</si>
  <si>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</si>
  <si>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</si>
  <si>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</si>
  <si>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</si>
  <si>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</si>
  <si>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</si>
  <si>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</si>
  <si>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</si>
  <si>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</si>
  <si>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</si>
  <si>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</si>
  <si>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</si>
  <si>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</si>
  <si>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</si>
  <si>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</si>
  <si>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</si>
  <si>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</si>
  <si>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</si>
  <si>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</si>
  <si>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</si>
  <si>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</si>
  <si>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</si>
  <si>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</si>
  <si>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</si>
  <si>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</si>
  <si>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</si>
  <si>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</si>
  <si>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</si>
  <si>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</si>
  <si>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</si>
  <si>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</si>
  <si>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</si>
  <si>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</si>
  <si>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</si>
  <si>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</si>
  <si>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</si>
  <si>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</si>
  <si>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</si>
  <si>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</si>
  <si>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</si>
  <si>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</si>
  <si>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</si>
  <si>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</si>
  <si>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</si>
  <si>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</si>
  <si>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</si>
  <si>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</si>
  <si>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</si>
  <si>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</si>
  <si>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</si>
  <si>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</si>
  <si>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</si>
  <si>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</si>
  <si>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</si>
  <si>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</si>
  <si>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</si>
  <si>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</si>
  <si>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</si>
  <si>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</si>
  <si>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</si>
  <si>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</si>
  <si>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</si>
  <si>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</si>
  <si>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</si>
  <si>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</si>
  <si>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</si>
  <si>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</si>
  <si>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</si>
  <si>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</si>
  <si>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</si>
  <si>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</si>
  <si>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</si>
  <si>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</si>
  <si>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</si>
  <si>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</si>
  <si>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</si>
  <si>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</si>
  <si>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</si>
  <si>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</si>
  <si>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</si>
  <si>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</si>
  <si>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</si>
  <si>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</si>
  <si>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</si>
  <si>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</si>
  <si>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</si>
  <si>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</si>
  <si>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</si>
  <si>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</si>
  <si>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</si>
  <si>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</si>
  <si>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</si>
  <si>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</si>
  <si>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</si>
  <si>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</si>
  <si>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</si>
  <si>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</si>
  <si>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</si>
  <si>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</si>
  <si>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</si>
  <si>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</si>
  <si>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</si>
  <si>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</si>
  <si>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</si>
  <si>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</si>
  <si>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</si>
  <si>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</si>
  <si>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</si>
  <si>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</si>
  <si>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</si>
  <si>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</si>
  <si>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</si>
  <si>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</si>
  <si>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</si>
  <si>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</si>
  <si>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</si>
  <si>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</si>
  <si>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</si>
  <si>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</si>
  <si>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</si>
  <si>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</si>
  <si>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</si>
  <si>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</si>
  <si>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</si>
  <si>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</si>
  <si>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</si>
  <si>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</si>
  <si>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</si>
  <si>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</si>
  <si>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</si>
  <si>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</si>
  <si>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</si>
  <si>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</si>
  <si>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</si>
  <si>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</si>
  <si>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</si>
  <si>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</si>
  <si>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</si>
  <si>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</si>
  <si>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</si>
  <si>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</si>
  <si>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</si>
  <si>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</si>
  <si>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</si>
  <si>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</si>
  <si>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</si>
  <si>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</si>
  <si>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</si>
  <si>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</si>
  <si>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</si>
  <si>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</si>
  <si>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</si>
  <si>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</si>
  <si>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</si>
  <si>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</si>
  <si>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</si>
  <si>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</si>
  <si>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</si>
  <si>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</si>
  <si>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</si>
  <si>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</si>
  <si>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</si>
  <si>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</si>
  <si>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</si>
  <si>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</si>
  <si>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</si>
  <si>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</si>
  <si>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</si>
  <si>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</si>
  <si>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</si>
  <si>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</si>
  <si>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</si>
  <si>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</si>
  <si>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</si>
  <si>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</si>
  <si>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</si>
  <si>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</si>
  <si>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</si>
  <si>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</si>
  <si>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</si>
  <si>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</si>
  <si>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</si>
  <si>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</si>
  <si>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</si>
  <si>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</si>
  <si>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</si>
  <si>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</si>
  <si>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</si>
  <si>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</si>
  <si>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</si>
  <si>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</si>
  <si>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</si>
  <si>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</si>
  <si>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</si>
  <si>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</si>
  <si>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</si>
  <si>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</si>
  <si>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</si>
  <si>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</si>
  <si>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</si>
  <si>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</si>
  <si>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</si>
  <si>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</si>
  <si>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</si>
  <si>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</si>
  <si>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</si>
  <si>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</si>
  <si>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</si>
  <si>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</si>
  <si>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</si>
  <si>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</si>
  <si>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</si>
  <si>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</si>
  <si>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</si>
  <si>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</si>
  <si>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</si>
  <si>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</si>
  <si>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</si>
  <si>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</si>
  <si>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</si>
  <si>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</si>
  <si>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</si>
  <si>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</si>
  <si>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</si>
  <si>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</si>
  <si>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</si>
  <si>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</si>
  <si>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</si>
  <si>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</si>
  <si>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</si>
  <si>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</si>
  <si>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</si>
  <si>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</si>
  <si>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</si>
  <si>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</si>
  <si>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</si>
  <si>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</si>
  <si>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</si>
  <si>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</si>
  <si>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</si>
  <si>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</si>
  <si>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</si>
  <si>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</si>
  <si>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</si>
  <si>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</si>
  <si>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</si>
  <si>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</si>
  <si>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</si>
  <si>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</si>
  <si>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</si>
  <si>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</si>
  <si>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</si>
  <si>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</si>
  <si>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</si>
  <si>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</si>
  <si>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</si>
  <si>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</si>
  <si>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</si>
  <si>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</si>
  <si>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</si>
  <si>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</si>
  <si>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</si>
  <si>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</si>
  <si>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</si>
  <si>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</si>
  <si>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</si>
  <si>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</si>
  <si>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</si>
  <si>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</si>
  <si>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</si>
  <si>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</si>
  <si>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</si>
  <si>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</si>
  <si>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</si>
  <si>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</si>
  <si>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</si>
  <si>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</si>
  <si>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</si>
  <si>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</si>
  <si>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</si>
  <si>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</si>
  <si>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</si>
  <si>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</si>
  <si>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</si>
  <si>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</si>
  <si>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</si>
  <si>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</si>
  <si>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</si>
  <si>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</si>
  <si>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</si>
  <si>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</si>
  <si>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</si>
  <si>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</si>
  <si>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</si>
  <si>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</si>
  <si>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</si>
  <si>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</si>
  <si>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</si>
  <si>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</si>
  <si>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</si>
  <si>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</si>
  <si>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</si>
  <si>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</si>
  <si>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</si>
  <si>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</si>
  <si>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</si>
  <si>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</si>
  <si>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</si>
  <si>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</si>
  <si>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</si>
  <si>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</si>
  <si>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</si>
  <si>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</si>
  <si>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</si>
  <si>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</si>
  <si>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</si>
  <si>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</si>
  <si>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</si>
  <si>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</si>
  <si>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</si>
  <si>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</si>
  <si>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</si>
  <si>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</si>
  <si>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</si>
  <si>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</si>
  <si>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</si>
  <si>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</si>
  <si>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</si>
  <si>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</si>
  <si>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</si>
  <si>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</si>
  <si>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</si>
  <si>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</si>
  <si>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</si>
  <si>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</si>
  <si>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</si>
  <si>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</si>
  <si>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</si>
  <si>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</si>
  <si>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</si>
  <si>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</si>
  <si>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</si>
  <si>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</si>
  <si>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</si>
  <si>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</si>
  <si>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</si>
  <si>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</si>
  <si>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</si>
  <si>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</si>
  <si>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</si>
  <si>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</si>
  <si>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</si>
  <si>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</si>
  <si>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</si>
  <si>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</si>
  <si>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</si>
  <si>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</si>
  <si>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</si>
  <si>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</si>
  <si>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</si>
  <si>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</si>
  <si>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</si>
  <si>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</si>
  <si>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</si>
  <si>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</si>
  <si>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</si>
  <si>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</si>
  <si>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</si>
  <si>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</si>
  <si>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</si>
  <si>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</si>
  <si>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</si>
  <si>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</si>
  <si>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</si>
  <si>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</si>
  <si>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</si>
  <si>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</si>
  <si>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</si>
  <si>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</si>
  <si>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</si>
  <si>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</si>
  <si>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</si>
  <si>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</si>
  <si>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</si>
  <si>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</si>
  <si>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</si>
  <si>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</si>
  <si>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</si>
  <si>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</si>
  <si>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</si>
  <si>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</si>
  <si>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</si>
  <si>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</si>
  <si>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</si>
  <si>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</si>
  <si>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</si>
  <si>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</si>
  <si>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</si>
  <si>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</si>
  <si>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</si>
  <si>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</si>
  <si>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</si>
  <si>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</si>
  <si>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</si>
  <si>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</si>
  <si>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</si>
  <si>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</si>
  <si>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</si>
  <si>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</si>
  <si>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</si>
  <si>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</si>
  <si>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</si>
  <si>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</si>
  <si>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</si>
  <si>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</si>
  <si>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</si>
  <si>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</si>
  <si>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</si>
  <si>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</si>
  <si>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</si>
  <si>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</si>
  <si>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</si>
  <si>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</si>
  <si>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</si>
  <si>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</si>
  <si>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</si>
  <si>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</si>
  <si>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</si>
  <si>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</si>
  <si>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</si>
  <si>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</si>
  <si>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</si>
  <si>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</si>
  <si>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</si>
  <si>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</si>
  <si>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</si>
  <si>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</si>
  <si>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</si>
  <si>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</si>
  <si>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</si>
  <si>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</si>
  <si>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</si>
  <si>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</si>
  <si>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</si>
  <si>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</si>
  <si>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</si>
  <si>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</si>
  <si>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</si>
  <si>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</si>
  <si>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</si>
  <si>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</si>
  <si>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</si>
  <si>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</si>
  <si>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</si>
  <si>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</si>
  <si>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</si>
  <si>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</si>
  <si>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</si>
  <si>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</si>
  <si>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</si>
  <si>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</si>
  <si>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</si>
  <si>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</si>
  <si>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</si>
  <si>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</si>
  <si>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</si>
  <si>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</si>
  <si>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</si>
  <si>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</si>
  <si>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</si>
  <si>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</si>
  <si>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</si>
  <si>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</si>
  <si>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</si>
  <si>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</si>
  <si>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</si>
  <si>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</si>
  <si>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</si>
  <si>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</si>
  <si>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</si>
  <si>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</si>
  <si>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</si>
  <si>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</si>
  <si>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</si>
  <si>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</si>
  <si>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</si>
  <si>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</si>
  <si>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</si>
  <si>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</si>
  <si>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</si>
  <si>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</si>
  <si>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</si>
  <si>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</si>
  <si>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</si>
  <si>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</si>
  <si>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</si>
  <si>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</si>
  <si>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</si>
  <si>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</si>
  <si>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</si>
  <si>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</si>
  <si>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</si>
  <si>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</si>
  <si>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</si>
  <si>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</si>
  <si>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</si>
  <si>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</si>
  <si>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</si>
  <si>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</si>
  <si>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</si>
  <si>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</si>
  <si>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</si>
  <si>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</si>
  <si>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</si>
  <si>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</si>
  <si>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</si>
  <si>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</si>
  <si>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</si>
  <si>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</si>
  <si>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</si>
  <si>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</si>
  <si>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</si>
  <si>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</si>
  <si>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</si>
  <si>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</si>
  <si>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</si>
  <si>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</si>
  <si>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</si>
  <si>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</si>
  <si>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</si>
  <si>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</si>
  <si>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</si>
  <si>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</si>
  <si>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</si>
  <si>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</si>
  <si>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</si>
  <si>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</si>
  <si>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</si>
  <si>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</si>
  <si>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</si>
  <si>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</si>
  <si>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</si>
  <si>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</si>
  <si>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</si>
  <si>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</si>
  <si>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</si>
  <si>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</si>
  <si>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</si>
  <si>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</si>
  <si>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</si>
  <si>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</si>
  <si>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</si>
  <si>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</si>
  <si>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</si>
  <si>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</si>
  <si>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</si>
  <si>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</si>
  <si>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</si>
  <si>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</si>
  <si>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</si>
  <si>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</si>
  <si>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</si>
  <si>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</si>
  <si>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</si>
  <si>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</si>
  <si>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</si>
  <si>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</si>
  <si>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</si>
  <si>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</si>
  <si>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</si>
  <si>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</si>
  <si>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</si>
  <si>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</si>
  <si>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</si>
  <si>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</si>
  <si>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</si>
  <si>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</si>
  <si>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</si>
  <si>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</si>
  <si>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</si>
  <si>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</si>
  <si>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</si>
  <si>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</si>
  <si>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</si>
  <si>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</si>
  <si>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</si>
  <si>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</si>
  <si>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</si>
  <si>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</si>
  <si>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</si>
  <si>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</si>
  <si>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</si>
  <si>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</si>
  <si>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</si>
  <si>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</si>
  <si>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</si>
  <si>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</si>
  <si>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</si>
  <si>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</si>
  <si>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</si>
  <si>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</si>
  <si>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</si>
  <si>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</si>
  <si>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</si>
  <si>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</si>
  <si>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</si>
  <si>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</si>
  <si>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</si>
  <si>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</si>
  <si>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</si>
  <si>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</si>
  <si>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</si>
  <si>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</si>
  <si>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</si>
  <si>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</si>
  <si>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</si>
  <si>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</si>
  <si>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</si>
  <si>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</si>
  <si>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</si>
  <si>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</si>
  <si>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</si>
  <si>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</si>
  <si>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</si>
  <si>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</si>
  <si>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</si>
  <si>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</si>
  <si>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</si>
  <si>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</si>
  <si>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</si>
  <si>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</si>
  <si>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</si>
  <si>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</si>
  <si>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</si>
  <si>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</si>
  <si>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</si>
  <si>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</si>
  <si>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</si>
  <si>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</si>
  <si>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</si>
  <si>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</si>
  <si>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</si>
  <si>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</si>
  <si>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</si>
  <si>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</si>
  <si>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</si>
  <si>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</si>
  <si>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</si>
  <si>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</si>
  <si>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</si>
  <si>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</si>
  <si>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</si>
  <si>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</si>
  <si>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</si>
  <si>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</si>
  <si>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</si>
  <si>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</si>
  <si>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</si>
  <si>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</si>
  <si>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</si>
  <si>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</si>
  <si>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</si>
  <si>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</si>
  <si>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</si>
  <si>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</si>
  <si>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</si>
  <si>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</si>
  <si>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</si>
  <si>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</si>
  <si>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</si>
  <si>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</si>
  <si>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</si>
  <si>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</si>
  <si>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</si>
  <si>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</si>
  <si>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</si>
  <si>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</si>
  <si>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</si>
  <si>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</si>
  <si>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</si>
  <si>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</si>
  <si>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</si>
  <si>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</si>
  <si>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</si>
  <si>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</si>
  <si>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</si>
  <si>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</si>
  <si>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</si>
  <si>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</si>
  <si>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</si>
  <si>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</si>
  <si>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</si>
  <si>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</si>
  <si>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</si>
  <si>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</si>
  <si>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</si>
  <si>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</si>
  <si>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</si>
  <si>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</si>
  <si>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</si>
  <si>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</si>
  <si>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</si>
  <si>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</si>
  <si>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</si>
  <si>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</si>
  <si>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</si>
  <si>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</si>
  <si>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</si>
  <si>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</si>
  <si>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</si>
  <si>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</si>
  <si>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</si>
  <si>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</si>
  <si>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</si>
  <si>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</si>
  <si>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</si>
  <si>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</si>
  <si>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</si>
  <si>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</si>
  <si>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</si>
  <si>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</si>
  <si>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</si>
  <si>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</si>
  <si>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</si>
  <si>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</si>
  <si>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</si>
  <si>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</si>
  <si>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</si>
  <si>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</si>
  <si>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</si>
  <si>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</si>
  <si>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</si>
  <si>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</si>
  <si>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</si>
  <si>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</si>
  <si>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</si>
  <si>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</si>
  <si>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</si>
  <si>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</si>
  <si>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</si>
  <si>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</si>
  <si>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</si>
  <si>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</si>
  <si>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</si>
  <si>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</si>
  <si>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</si>
  <si>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</si>
  <si>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</si>
  <si>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</si>
  <si>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</si>
  <si>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</si>
  <si>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</si>
  <si>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</si>
  <si>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</si>
  <si>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</si>
  <si>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</si>
  <si>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</si>
  <si>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</si>
  <si>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</si>
  <si>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</si>
  <si>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</si>
  <si>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</si>
  <si>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</si>
  <si>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</si>
  <si>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</si>
  <si>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</si>
  <si>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</si>
  <si>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</si>
  <si>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</si>
  <si>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</si>
  <si>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</si>
  <si>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</si>
  <si>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</si>
  <si>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</si>
  <si>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</si>
  <si>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</si>
  <si>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</si>
  <si>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</si>
  <si>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</si>
  <si>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</si>
  <si>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</si>
  <si>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</si>
  <si>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</si>
  <si>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</si>
  <si>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</si>
  <si>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</si>
  <si>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</si>
  <si>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</si>
  <si>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</si>
  <si>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</si>
  <si>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</si>
  <si>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</si>
  <si>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</si>
  <si>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</si>
  <si>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</si>
  <si>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</si>
  <si>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</si>
  <si>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</si>
  <si>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</si>
  <si>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</si>
  <si>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</si>
  <si>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</si>
  <si>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</si>
  <si>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</si>
  <si>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</si>
  <si>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</si>
  <si>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</si>
  <si>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</si>
  <si>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</si>
  <si>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</si>
  <si>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</si>
  <si>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</si>
  <si>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</si>
  <si>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</si>
  <si>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</si>
  <si>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</si>
  <si>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</si>
  <si>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</si>
  <si>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</si>
  <si>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</si>
  <si>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</si>
  <si>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</si>
  <si>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</si>
  <si>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</si>
  <si>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</si>
  <si>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</si>
  <si>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</si>
  <si>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</si>
  <si>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</si>
  <si>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</si>
  <si>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</si>
  <si>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</si>
  <si>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</si>
  <si>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</si>
  <si>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</si>
  <si>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</si>
  <si>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</si>
  <si>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</si>
  <si>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</si>
  <si>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</si>
  <si>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</si>
  <si>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</si>
  <si>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</si>
  <si>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</si>
  <si>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</si>
  <si>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</si>
  <si>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</si>
  <si>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</si>
  <si>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</si>
  <si>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</si>
  <si>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</si>
  <si>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</si>
  <si>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</si>
  <si>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</si>
  <si>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</si>
  <si>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</si>
  <si>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</si>
  <si>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</si>
  <si>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</si>
  <si>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</si>
  <si>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</si>
  <si>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</si>
  <si>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</si>
  <si>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</si>
  <si>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</si>
  <si>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</si>
  <si>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</si>
  <si>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</si>
  <si>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</si>
  <si>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</si>
  <si>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</si>
  <si>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</si>
  <si>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</si>
  <si>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</si>
  <si>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</si>
  <si>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</si>
  <si>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</si>
  <si>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</si>
  <si>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</si>
  <si>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</si>
  <si>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</si>
  <si>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</si>
  <si>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</si>
  <si>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</si>
  <si>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</si>
  <si>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</si>
  <si>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</si>
  <si>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</si>
  <si>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</si>
  <si>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</si>
  <si>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</si>
  <si>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</si>
  <si>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</si>
  <si>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</si>
  <si>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</si>
  <si>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</si>
  <si>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</si>
  <si>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</si>
  <si>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</si>
  <si>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</si>
  <si>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</si>
  <si>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</si>
  <si>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</si>
  <si>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</si>
  <si>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</si>
  <si>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</si>
  <si>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</si>
  <si>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</si>
  <si>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</si>
  <si>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</si>
  <si>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</si>
  <si>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</si>
  <si>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</si>
  <si>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</si>
  <si>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</si>
  <si>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</si>
  <si>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</si>
  <si>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</si>
  <si>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</si>
  <si>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</si>
  <si>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</si>
  <si>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</si>
  <si>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</si>
  <si>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</si>
  <si>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</si>
  <si>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</si>
  <si>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</si>
  <si>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</si>
  <si>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</si>
  <si>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</si>
  <si>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</si>
  <si>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</si>
  <si>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</si>
  <si>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</si>
  <si>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</si>
  <si>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</si>
  <si>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</si>
  <si>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</si>
  <si>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</si>
  <si>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</si>
  <si>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</si>
  <si>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</si>
  <si>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</si>
  <si>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</si>
  <si>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</si>
  <si>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</si>
  <si>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</si>
  <si>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</si>
  <si>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</si>
  <si>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</si>
  <si>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</si>
  <si>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</si>
  <si>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</si>
  <si>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</si>
  <si>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</si>
  <si>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</si>
  <si>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</si>
  <si>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</si>
  <si>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</si>
  <si>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</si>
  <si>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</si>
  <si>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</si>
  <si>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</si>
  <si>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</si>
  <si>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</si>
  <si>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</si>
  <si>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</si>
  <si>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</si>
  <si>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</si>
  <si>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</si>
  <si>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</si>
  <si>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</si>
  <si>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</si>
  <si>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</si>
  <si>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</si>
  <si>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</si>
  <si>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</si>
  <si>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</si>
  <si>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</si>
  <si>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</si>
  <si>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</si>
  <si>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</si>
  <si>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</si>
  <si>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</si>
  <si>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</si>
  <si>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</si>
  <si>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</si>
  <si>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</si>
  <si>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</si>
  <si>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</si>
  <si>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</si>
  <si>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</si>
  <si>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</si>
  <si>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</si>
  <si>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</si>
  <si>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</si>
  <si>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</si>
  <si>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</si>
  <si>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</si>
  <si>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</si>
  <si>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</si>
  <si>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</si>
  <si>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</si>
  <si>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</si>
  <si>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</si>
  <si>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</si>
  <si>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</si>
  <si>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</si>
  <si>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</si>
  <si>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</si>
  <si>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</si>
  <si>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</si>
  <si>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</si>
  <si>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</si>
  <si>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</si>
  <si>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</si>
  <si>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</si>
  <si>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</si>
  <si>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</si>
  <si>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</si>
  <si>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</si>
  <si>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</si>
  <si>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</si>
  <si>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</si>
  <si>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</si>
  <si>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</si>
  <si>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</si>
  <si>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</si>
  <si>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</si>
  <si>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</si>
  <si>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</si>
  <si>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</si>
  <si>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</si>
  <si>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</si>
  <si>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</si>
  <si>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</si>
  <si>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</si>
  <si>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</si>
  <si>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</si>
  <si>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</si>
  <si>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</si>
  <si>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</si>
  <si>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</si>
  <si>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</si>
  <si>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</si>
  <si>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</si>
  <si>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</si>
  <si>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</si>
  <si>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</si>
  <si>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</si>
  <si>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</si>
  <si>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</si>
  <si>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</si>
  <si>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</si>
  <si>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</si>
  <si>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</si>
  <si>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</si>
  <si>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</si>
  <si>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</si>
  <si>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</si>
  <si>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</si>
  <si>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</si>
  <si>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</si>
  <si>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</si>
  <si>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</si>
  <si>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</si>
  <si>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</si>
  <si>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</si>
  <si>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</si>
  <si>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</si>
  <si>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</si>
  <si>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</si>
  <si>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</si>
  <si>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</si>
  <si>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</si>
  <si>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</si>
  <si>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</si>
  <si>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</si>
  <si>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</si>
  <si>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</si>
  <si>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</si>
  <si>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</si>
  <si>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</si>
  <si>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</si>
  <si>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</si>
  <si>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</si>
  <si>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</si>
  <si>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</si>
  <si>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</si>
  <si>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</si>
  <si>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</si>
  <si>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</si>
  <si>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</si>
  <si>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</si>
  <si>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</si>
  <si>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</si>
  <si>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</si>
  <si>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</si>
  <si>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</si>
  <si>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</si>
  <si>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</si>
  <si>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</si>
  <si>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</si>
  <si>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</si>
  <si>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</si>
  <si>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</si>
  <si>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</si>
  <si>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</si>
  <si>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</si>
  <si>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</si>
  <si>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</si>
  <si>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</si>
  <si>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</si>
  <si>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</si>
  <si>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</si>
  <si>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</si>
  <si>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</si>
  <si>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</si>
  <si>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</si>
  <si>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</si>
  <si>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</si>
  <si>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</si>
  <si>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</si>
  <si>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</si>
  <si>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</si>
  <si>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</si>
  <si>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</si>
  <si>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</si>
  <si>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</si>
  <si>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</si>
  <si>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</si>
  <si>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</si>
  <si>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</si>
  <si>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</si>
  <si>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</si>
  <si>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</si>
  <si>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</si>
  <si>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</si>
  <si>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</si>
  <si>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</si>
  <si>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</si>
  <si>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</si>
  <si>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</si>
  <si>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</si>
  <si>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</si>
  <si>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</si>
  <si>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</si>
  <si>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</si>
  <si>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</si>
  <si>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</si>
  <si>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</si>
  <si>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</si>
  <si>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</si>
  <si>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</si>
  <si>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</si>
  <si>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</si>
  <si>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</si>
  <si>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</si>
  <si>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</si>
  <si>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</si>
  <si>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</si>
  <si>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</si>
  <si>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</si>
  <si>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</si>
  <si>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</si>
  <si>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</si>
  <si>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</si>
  <si>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</si>
  <si>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</si>
  <si>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</si>
  <si>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</si>
  <si>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</si>
  <si>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</si>
  <si>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</si>
  <si>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</si>
  <si>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</si>
  <si>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</si>
  <si>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</si>
  <si>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</si>
  <si>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</si>
  <si>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</si>
  <si>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</si>
  <si>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</si>
  <si>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</si>
  <si>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</si>
  <si>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</si>
  <si>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</si>
  <si>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</si>
  <si>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</si>
  <si>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</si>
  <si>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</si>
  <si>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</si>
  <si>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</si>
  <si>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</si>
  <si>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</si>
  <si>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</si>
  <si>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</si>
  <si>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</si>
  <si>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</si>
  <si>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</si>
  <si>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</si>
  <si>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</si>
  <si>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</si>
  <si>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</si>
  <si>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</si>
  <si>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</si>
  <si>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</si>
  <si>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</si>
  <si>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</si>
  <si>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</si>
  <si>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</si>
  <si>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</si>
  <si>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</si>
  <si>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</si>
  <si>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</si>
  <si>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</si>
  <si>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</si>
  <si>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</si>
  <si>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</si>
  <si>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</si>
  <si>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</si>
  <si>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</si>
  <si>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</si>
  <si>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</si>
  <si>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</si>
  <si>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</si>
  <si>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</si>
  <si>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</si>
  <si>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</si>
  <si>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</si>
  <si>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</si>
  <si>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</si>
  <si>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</si>
  <si>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</si>
  <si>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</si>
  <si>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</si>
  <si>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</si>
  <si>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</si>
  <si>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</si>
  <si>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</si>
  <si>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</si>
  <si>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</si>
  <si>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</si>
  <si>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</si>
  <si>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</si>
  <si>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</si>
  <si>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</si>
  <si>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</si>
  <si>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</si>
  <si>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</si>
  <si>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</si>
  <si>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</si>
  <si>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</si>
  <si>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</si>
  <si>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</si>
  <si>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</si>
  <si>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</si>
  <si>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</si>
  <si>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</si>
  <si>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</si>
  <si>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</si>
  <si>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</si>
  <si>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</si>
  <si>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</si>
  <si>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</si>
  <si>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</si>
  <si>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</si>
  <si>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</si>
  <si>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</si>
  <si>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</si>
  <si>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</si>
  <si>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</si>
  <si>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</si>
  <si>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</si>
  <si>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</si>
  <si>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</si>
  <si>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</si>
  <si>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</si>
  <si>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</si>
  <si>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</si>
  <si>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</si>
  <si>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</si>
  <si>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</si>
  <si>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</si>
  <si>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</si>
  <si>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</si>
  <si>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</si>
  <si>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</si>
  <si>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</si>
  <si>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</si>
  <si>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</si>
  <si>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</si>
  <si>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</si>
  <si>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</si>
  <si>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</si>
  <si>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</si>
  <si>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</si>
  <si>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</si>
  <si>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</si>
  <si>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</si>
  <si>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</si>
  <si>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</si>
  <si>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</si>
  <si>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</si>
  <si>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</si>
  <si>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</si>
  <si>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</si>
  <si>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</si>
  <si>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</si>
  <si>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</si>
  <si>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</si>
  <si>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</si>
  <si>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</si>
  <si>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</si>
  <si>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</si>
  <si>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</si>
  <si>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</si>
  <si>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</si>
  <si>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</si>
  <si>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</si>
  <si>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</si>
  <si>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</si>
  <si>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</si>
  <si>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</si>
  <si>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</si>
  <si>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</si>
  <si>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</si>
  <si>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</si>
  <si>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</si>
  <si>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</si>
  <si>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</si>
  <si>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</si>
  <si>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</si>
  <si>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</si>
  <si>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</si>
  <si>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</si>
  <si>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</si>
  <si>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</si>
  <si>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</si>
  <si>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</si>
  <si>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</si>
  <si>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</si>
  <si>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</si>
  <si>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</si>
  <si>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</si>
  <si>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</si>
  <si>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</si>
  <si>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</si>
  <si>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</si>
  <si>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</si>
  <si>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</si>
  <si>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</si>
  <si>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</si>
  <si>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</si>
  <si>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</si>
  <si>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</si>
  <si>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</si>
  <si>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</si>
  <si>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</si>
  <si>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</si>
  <si>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</si>
  <si>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</si>
  <si>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</si>
  <si>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</si>
  <si>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</si>
  <si>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</si>
  <si>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</si>
  <si>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</si>
  <si>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</si>
  <si>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</si>
  <si>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</si>
  <si>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</si>
  <si>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</si>
  <si>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</si>
  <si>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</si>
  <si>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</si>
  <si>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</si>
  <si>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</si>
  <si>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</si>
  <si>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</si>
  <si>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</si>
  <si>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</si>
  <si>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</si>
  <si>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</si>
  <si>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</si>
  <si>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</si>
  <si>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</si>
  <si>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</si>
  <si>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</si>
  <si>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</si>
  <si>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</si>
  <si>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</si>
  <si>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</si>
  <si>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</si>
  <si>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</si>
  <si>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</si>
  <si>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</si>
  <si>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</si>
  <si>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</si>
  <si>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</si>
  <si>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</si>
  <si>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</si>
  <si>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</si>
  <si>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</si>
  <si>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</si>
  <si>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</si>
  <si>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</si>
  <si>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</si>
  <si>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</si>
  <si>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</si>
  <si>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</si>
  <si>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</si>
  <si>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</si>
  <si>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</si>
  <si>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</si>
  <si>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</si>
  <si>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</si>
  <si>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</si>
  <si>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</si>
  <si>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</si>
  <si>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</si>
  <si>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</si>
  <si>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</si>
  <si>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</si>
  <si>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</si>
  <si>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</si>
  <si>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</si>
  <si>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</si>
  <si>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</si>
  <si>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</si>
  <si>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</si>
  <si>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</si>
  <si>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</si>
  <si>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</si>
  <si>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</si>
  <si>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</si>
  <si>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</si>
  <si>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</si>
  <si>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</si>
  <si>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</si>
  <si>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</si>
  <si>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</si>
  <si>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</si>
  <si>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</si>
  <si>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</si>
  <si>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</si>
  <si>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</si>
  <si>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</si>
  <si>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</si>
  <si>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</si>
  <si>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</si>
  <si>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</si>
  <si>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</si>
  <si>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</si>
  <si>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</si>
  <si>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</si>
  <si>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</si>
  <si>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</si>
  <si>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</si>
  <si>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</si>
  <si>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</si>
  <si>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</si>
  <si>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</si>
  <si>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</si>
  <si>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</si>
  <si>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</si>
  <si>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</si>
  <si>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</si>
  <si>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</si>
  <si>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</si>
  <si>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</si>
  <si>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</si>
  <si>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</si>
  <si>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</si>
  <si>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</si>
  <si>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</si>
  <si>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</si>
  <si>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</si>
  <si>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</si>
  <si>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</si>
  <si>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</si>
  <si>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</si>
  <si>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</si>
  <si>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</si>
  <si>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</si>
  <si>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</si>
  <si>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</si>
  <si>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</si>
  <si>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</si>
  <si>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</si>
  <si>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</si>
  <si>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</si>
  <si>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</si>
  <si>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</si>
  <si>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</si>
  <si>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</si>
  <si>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</si>
  <si>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</si>
  <si>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</si>
  <si>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</si>
  <si>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</si>
  <si>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</si>
  <si>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</si>
  <si>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</si>
  <si>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</si>
  <si>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</si>
  <si>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</si>
  <si>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</si>
  <si>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</si>
  <si>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</si>
  <si>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</si>
  <si>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</si>
  <si>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</si>
  <si>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</si>
  <si>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</si>
  <si>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</si>
  <si>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</si>
  <si>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</si>
  <si>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</si>
  <si>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</si>
  <si>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</si>
  <si>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</si>
  <si>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</si>
  <si>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</si>
  <si>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</si>
  <si>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</si>
  <si>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</si>
  <si>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</si>
  <si>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</si>
  <si>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</si>
  <si>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</si>
  <si>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</si>
  <si>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</si>
  <si>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</si>
  <si>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</si>
  <si>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</si>
  <si>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</si>
  <si>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</si>
  <si>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</si>
  <si>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</si>
  <si>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</si>
  <si>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</si>
  <si>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</si>
  <si>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</si>
  <si>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</si>
  <si>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</si>
  <si>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</si>
  <si>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</si>
  <si>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</si>
  <si>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</si>
  <si>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</si>
  <si>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</si>
  <si>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</si>
  <si>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</si>
  <si>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</si>
  <si>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</si>
  <si>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</si>
  <si>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</si>
  <si>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</si>
  <si>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</si>
  <si>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</si>
  <si>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</si>
  <si>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</si>
  <si>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</si>
  <si>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</si>
  <si>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</si>
  <si>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</si>
  <si>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</si>
  <si>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</si>
  <si>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</si>
  <si>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</si>
  <si>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</si>
  <si>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</si>
  <si>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</si>
  <si>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</si>
  <si>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</si>
  <si>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</si>
  <si>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</si>
  <si>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</si>
  <si>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</si>
  <si>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</si>
  <si>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</si>
  <si>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</si>
  <si>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</si>
  <si>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</si>
  <si>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</si>
  <si>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</si>
  <si>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</si>
  <si>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</si>
  <si>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</si>
  <si>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</si>
  <si>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</si>
  <si>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</si>
  <si>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</si>
  <si>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</si>
  <si>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</si>
  <si>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</si>
  <si>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</si>
  <si>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</si>
  <si>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</si>
  <si>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</si>
  <si>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</si>
  <si>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</si>
  <si>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</si>
  <si>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</si>
  <si>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</si>
  <si>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</si>
  <si>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</si>
  <si>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</si>
  <si>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</si>
  <si>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</si>
  <si>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</si>
  <si>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</si>
  <si>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</si>
  <si>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</si>
  <si>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</si>
  <si>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</si>
  <si>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</si>
  <si>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</si>
  <si>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</si>
  <si>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</si>
  <si>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</si>
  <si>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</si>
  <si>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</si>
  <si>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</si>
  <si>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</si>
  <si>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</si>
  <si>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</si>
  <si>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</si>
  <si>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</si>
  <si>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</si>
  <si>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</si>
  <si>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</si>
  <si>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</si>
  <si>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</si>
  <si>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</si>
  <si>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</si>
  <si>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</si>
  <si>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</si>
  <si>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</si>
  <si>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</si>
  <si>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</si>
  <si>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</si>
  <si>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</si>
  <si>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</si>
  <si>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</si>
  <si>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</si>
  <si>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</si>
  <si>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</si>
  <si>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</si>
  <si>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</si>
  <si>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</si>
  <si>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</si>
  <si>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</si>
  <si>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</si>
  <si>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</si>
  <si>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</si>
  <si>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</si>
  <si>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</si>
  <si>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</si>
  <si>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</si>
  <si>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</si>
  <si>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</si>
  <si>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</si>
  <si>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</si>
  <si>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</si>
  <si>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</si>
  <si>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</si>
  <si>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</si>
  <si>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</si>
  <si>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</si>
  <si>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</si>
  <si>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</si>
  <si>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</si>
  <si>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</si>
  <si>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</si>
  <si>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</si>
  <si>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</si>
  <si>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</si>
  <si>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</si>
  <si>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</si>
  <si>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</si>
  <si>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</si>
  <si>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</si>
  <si>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</si>
  <si>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</si>
  <si>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</si>
  <si>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</si>
  <si>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</si>
  <si>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</si>
  <si>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</si>
  <si>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</si>
  <si>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</si>
  <si>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</si>
  <si>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</si>
  <si>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</si>
  <si>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</si>
  <si>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</si>
  <si>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</si>
  <si>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</si>
  <si>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</si>
  <si>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</si>
  <si>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</si>
  <si>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</si>
  <si>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</si>
  <si>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</si>
  <si>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</si>
  <si>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</si>
  <si>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</si>
  <si>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</si>
  <si>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</si>
  <si>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</si>
  <si>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</si>
  <si>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</si>
  <si>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</si>
  <si>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</si>
  <si>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</si>
  <si>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</si>
  <si>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</si>
  <si>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</si>
  <si>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</si>
  <si>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</si>
  <si>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</si>
  <si>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</si>
  <si>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</si>
  <si>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</si>
  <si>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</si>
  <si>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</si>
  <si>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</si>
  <si>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</si>
  <si>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</si>
  <si>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</si>
  <si>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</si>
  <si>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</si>
  <si>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</si>
  <si>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</si>
  <si>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</si>
  <si>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</si>
  <si>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</si>
  <si>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</si>
  <si>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</si>
  <si>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</si>
  <si>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</si>
  <si>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</si>
  <si>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</si>
  <si>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</si>
  <si>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</si>
  <si>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</si>
  <si>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</si>
  <si>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</si>
  <si>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</si>
  <si>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</si>
  <si>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</si>
  <si>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</si>
  <si>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</si>
  <si>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</si>
  <si>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</si>
  <si>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</si>
  <si>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</si>
  <si>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</si>
  <si>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</si>
  <si>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</si>
  <si>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</si>
  <si>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</si>
  <si>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</si>
  <si>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</si>
  <si>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</si>
  <si>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</si>
  <si>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</si>
  <si>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</si>
  <si>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</si>
  <si>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</si>
  <si>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</si>
  <si>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</si>
  <si>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</si>
  <si>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</si>
  <si>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</si>
  <si>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</si>
  <si>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</si>
  <si>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</si>
  <si>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</si>
  <si>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</si>
  <si>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</si>
  <si>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</si>
  <si>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</si>
  <si>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</si>
  <si>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</si>
  <si>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</si>
  <si>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</si>
  <si>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</si>
  <si>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</si>
  <si>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</si>
  <si>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</si>
  <si>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</si>
  <si>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</si>
  <si>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</si>
  <si>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</si>
  <si>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</si>
  <si>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</si>
  <si>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</si>
  <si>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</si>
  <si>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</si>
  <si>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</si>
  <si>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</si>
  <si>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</si>
  <si>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</si>
  <si>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</si>
  <si>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</si>
  <si>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</si>
  <si>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</si>
  <si>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</si>
  <si>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</si>
  <si>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</si>
  <si>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</si>
  <si>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</si>
  <si>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</si>
  <si>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</si>
  <si>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</si>
  <si>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</si>
  <si>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</si>
  <si>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</si>
  <si>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</si>
  <si>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</si>
  <si>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</si>
  <si>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</si>
  <si>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</si>
  <si>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</si>
  <si>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</si>
  <si>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</si>
  <si>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</si>
  <si>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</si>
  <si>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</si>
  <si>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</si>
  <si>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</si>
  <si>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</si>
  <si>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</si>
  <si>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</si>
  <si>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</si>
  <si>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</si>
  <si>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</si>
  <si>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</si>
  <si>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</si>
  <si>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</si>
  <si>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</si>
  <si>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</si>
  <si>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</si>
  <si>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</si>
  <si>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</si>
  <si>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</si>
  <si>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</si>
  <si>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</si>
  <si>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</si>
  <si>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</si>
  <si>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</si>
  <si>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</si>
  <si>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</si>
  <si>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</si>
  <si>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</si>
  <si>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</si>
  <si>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</si>
  <si>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</si>
  <si>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</si>
  <si>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</si>
  <si>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</si>
  <si>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</si>
  <si>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</si>
  <si>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</si>
  <si>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</si>
  <si>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</si>
  <si>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</si>
  <si>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</si>
  <si>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</si>
  <si>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</si>
  <si>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</si>
  <si>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</si>
  <si>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</si>
  <si>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</si>
  <si>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</si>
  <si>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</si>
  <si>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</si>
  <si>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</si>
  <si>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</si>
  <si>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</si>
  <si>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</si>
  <si>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</si>
  <si>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</si>
  <si>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</si>
  <si>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</si>
  <si>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</si>
  <si>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</si>
  <si>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</si>
  <si>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</si>
  <si>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</si>
  <si>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</si>
  <si>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</si>
  <si>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</si>
  <si>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</si>
  <si>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</si>
  <si>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</si>
  <si>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</si>
  <si>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</si>
  <si>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</si>
  <si>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</si>
  <si>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</si>
  <si>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</si>
  <si>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</si>
  <si>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</si>
  <si>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</si>
  <si>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</si>
  <si>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</si>
  <si>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</si>
  <si>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</si>
  <si>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</si>
  <si>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</si>
  <si>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</si>
  <si>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</si>
  <si>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</si>
  <si>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</si>
  <si>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</si>
  <si>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</si>
  <si>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</si>
  <si>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</si>
  <si>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</si>
  <si>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</si>
  <si>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</si>
  <si>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</si>
  <si>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</si>
  <si>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</si>
  <si>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</si>
  <si>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</si>
  <si>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</si>
  <si>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</si>
  <si>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</si>
  <si>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</si>
  <si>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</si>
  <si>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</si>
  <si>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</si>
  <si>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</si>
  <si>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</si>
  <si>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</si>
  <si>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</si>
  <si>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</si>
  <si>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</si>
  <si>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</si>
  <si>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</si>
  <si>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</si>
  <si>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</si>
  <si>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</si>
  <si>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</si>
  <si>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</si>
  <si>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</si>
  <si>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</si>
  <si>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</si>
  <si>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</si>
  <si>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</si>
  <si>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</si>
  <si>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</si>
  <si>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</si>
  <si>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</si>
  <si>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</si>
  <si>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</si>
  <si>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</si>
  <si>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</si>
  <si>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</si>
  <si>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</si>
  <si>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</si>
  <si>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</si>
  <si>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</si>
  <si>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</si>
  <si>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</si>
  <si>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</si>
  <si>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</si>
  <si>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</si>
  <si>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</si>
  <si>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</si>
  <si>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</si>
  <si>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</si>
  <si>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</si>
  <si>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</si>
  <si>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</si>
  <si>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</si>
  <si>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</si>
  <si>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</si>
  <si>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</si>
  <si>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</si>
  <si>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</si>
  <si>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</si>
  <si>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</si>
  <si>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</si>
  <si>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</si>
  <si>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</si>
  <si>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</si>
  <si>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</si>
  <si>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</si>
  <si>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</si>
  <si>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</si>
  <si>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</si>
  <si>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</si>
  <si>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</si>
  <si>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</si>
  <si>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</si>
  <si>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</si>
  <si>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</si>
  <si>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</si>
  <si>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</si>
  <si>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</si>
  <si>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</si>
  <si>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</si>
  <si>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</si>
  <si>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</si>
  <si>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</si>
  <si>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</si>
  <si>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</si>
  <si>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</si>
  <si>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</si>
  <si>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</si>
  <si>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</si>
  <si>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</si>
  <si>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</si>
  <si>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</si>
  <si>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</si>
  <si>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</si>
  <si>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</si>
  <si>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</si>
  <si>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</si>
  <si>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</si>
  <si>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</si>
  <si>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</si>
  <si>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</si>
  <si>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</si>
  <si>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</si>
  <si>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</si>
  <si>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</si>
  <si>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</si>
  <si>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</si>
  <si>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</si>
  <si>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</si>
  <si>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</si>
  <si>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</si>
  <si>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</si>
  <si>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</si>
  <si>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</si>
  <si>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</si>
  <si>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</si>
  <si>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</si>
  <si>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</si>
  <si>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</si>
  <si>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</si>
  <si>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</si>
  <si>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</si>
  <si>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</si>
  <si>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</si>
  <si>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</si>
  <si>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</si>
  <si>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</si>
  <si>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</si>
  <si>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</si>
  <si>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</si>
  <si>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</si>
  <si>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</si>
  <si>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</si>
  <si>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</si>
  <si>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</si>
  <si>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</si>
  <si>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</si>
  <si>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</si>
  <si>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</si>
  <si>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</si>
  <si>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</si>
  <si>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</si>
  <si>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</si>
  <si>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</si>
  <si>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</si>
  <si>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</si>
  <si>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</si>
  <si>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</si>
  <si>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</si>
  <si>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</si>
  <si>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</si>
  <si>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</si>
  <si>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</si>
  <si>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</si>
  <si>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</si>
  <si>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</si>
  <si>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</si>
  <si>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</si>
  <si>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</si>
  <si>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</si>
  <si>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</si>
  <si>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</si>
  <si>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</si>
  <si>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</si>
  <si>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</si>
  <si>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</si>
  <si>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</si>
  <si>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</si>
  <si>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</si>
  <si>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</si>
  <si>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</si>
  <si>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</si>
  <si>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</si>
  <si>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</si>
  <si>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</si>
  <si>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</si>
  <si>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</si>
  <si>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</si>
  <si>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</si>
  <si>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</si>
  <si>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</si>
  <si>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</si>
  <si>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</si>
  <si>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</si>
  <si>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</si>
  <si>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</si>
  <si>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</si>
  <si>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</si>
  <si>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</si>
  <si>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</si>
  <si>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</si>
  <si>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</si>
  <si>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</si>
  <si>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</si>
  <si>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</si>
  <si>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</si>
  <si>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</si>
  <si>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</si>
  <si>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</si>
  <si>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</si>
  <si>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</si>
  <si>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</si>
  <si>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</si>
  <si>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</si>
  <si>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</si>
  <si>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</si>
  <si>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</si>
  <si>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</si>
  <si>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</si>
  <si>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</si>
  <si>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</si>
  <si>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</si>
  <si>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</si>
  <si>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</si>
  <si>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</si>
  <si>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</si>
  <si>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</si>
  <si>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</si>
  <si>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</si>
  <si>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</si>
  <si>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</si>
  <si>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</si>
  <si>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</si>
  <si>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</si>
  <si>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</si>
  <si>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</si>
  <si>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</si>
  <si>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</si>
  <si>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</si>
  <si>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</si>
  <si>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</si>
  <si>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</si>
  <si>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</si>
  <si>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</si>
  <si>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</si>
  <si>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</si>
  <si>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</si>
  <si>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</si>
  <si>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</si>
  <si>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</si>
  <si>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</si>
  <si>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</si>
  <si>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</si>
  <si>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</si>
  <si>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</si>
  <si>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</si>
  <si>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</si>
  <si>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</si>
  <si>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</si>
  <si>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</si>
  <si>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</si>
  <si>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</si>
  <si>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</si>
  <si>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</si>
  <si>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</si>
  <si>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</si>
  <si>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</si>
  <si>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</si>
  <si>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</si>
  <si>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</si>
  <si>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</si>
  <si>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</si>
  <si>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</si>
  <si>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</si>
  <si>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</si>
  <si>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</si>
  <si>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</si>
  <si>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</si>
  <si>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</si>
  <si>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</si>
  <si>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</si>
  <si>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</si>
  <si>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</si>
  <si>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</si>
  <si>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</si>
  <si>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</si>
  <si>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</si>
  <si>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</si>
  <si>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</si>
  <si>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</si>
  <si>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</si>
  <si>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</si>
  <si>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</si>
  <si>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</si>
  <si>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</si>
  <si>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</si>
  <si>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</si>
  <si>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</si>
  <si>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</si>
  <si>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</si>
  <si>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</si>
  <si>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</si>
  <si>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</si>
  <si>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</si>
  <si>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</si>
  <si>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</si>
  <si>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</si>
  <si>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</si>
  <si>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</si>
  <si>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</si>
  <si>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</si>
  <si>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</si>
  <si>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</si>
  <si>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</si>
  <si>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</si>
  <si>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</si>
  <si>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</si>
  <si>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</si>
  <si>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</si>
  <si>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</si>
  <si>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</si>
  <si>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</si>
  <si>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</si>
  <si>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</si>
  <si>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</si>
  <si>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</si>
  <si>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</si>
  <si>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</si>
  <si>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</si>
  <si>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</si>
  <si>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</si>
  <si>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</si>
  <si>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</si>
  <si>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</si>
  <si>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</si>
  <si>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</si>
  <si>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</si>
  <si>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</si>
  <si>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</si>
  <si>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</si>
  <si>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</si>
  <si>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</si>
  <si>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</si>
  <si>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</si>
  <si>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</si>
  <si>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</si>
  <si>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</si>
  <si>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</si>
  <si>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</si>
  <si>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</si>
  <si>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</si>
  <si>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</si>
  <si>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</si>
  <si>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</si>
  <si>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</si>
  <si>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</si>
  <si>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</si>
  <si>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</si>
  <si>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</si>
  <si>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</si>
  <si>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</si>
  <si>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</si>
  <si>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</si>
  <si>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</si>
  <si>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</si>
  <si>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</si>
  <si>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</si>
  <si>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</si>
  <si>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</si>
  <si>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</si>
  <si>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</si>
  <si>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</si>
  <si>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</si>
  <si>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</si>
  <si>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</si>
  <si>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</si>
  <si>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</si>
  <si>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</si>
  <si>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</si>
  <si>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</si>
  <si>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</si>
  <si>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</si>
  <si>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</si>
  <si>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</si>
  <si>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</si>
  <si>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</si>
  <si>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</si>
  <si>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</si>
  <si>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</si>
  <si>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</si>
  <si>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</si>
  <si>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</si>
  <si>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</si>
  <si>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</si>
  <si>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</si>
  <si>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</si>
  <si>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</si>
  <si>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</si>
  <si>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</si>
  <si>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</si>
  <si>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</si>
  <si>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</si>
  <si>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</si>
  <si>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</si>
  <si>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</si>
  <si>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</si>
  <si>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</si>
  <si>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</si>
  <si>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</si>
  <si>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</si>
  <si>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</si>
  <si>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</si>
  <si>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</si>
  <si>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</si>
  <si>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</si>
  <si>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</si>
  <si>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</si>
  <si>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</si>
  <si>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</si>
  <si>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</si>
  <si>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</si>
  <si>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</si>
  <si>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</si>
  <si>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</si>
  <si>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</si>
  <si>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</si>
  <si>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</si>
  <si>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</si>
  <si>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</si>
  <si>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</si>
  <si>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</si>
  <si>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</si>
  <si>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</si>
  <si>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</si>
  <si>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</si>
  <si>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</si>
  <si>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</si>
  <si>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</si>
  <si>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</si>
  <si>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</si>
  <si>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</si>
  <si>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</si>
  <si>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</si>
  <si>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</si>
  <si>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</si>
  <si>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</si>
  <si>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</si>
  <si>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</si>
  <si>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</si>
  <si>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</si>
  <si>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</si>
  <si>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</si>
  <si>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</si>
  <si>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</si>
  <si>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</si>
  <si>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</si>
  <si>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</si>
  <si>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</si>
  <si>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</si>
  <si>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</si>
  <si>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</si>
  <si>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</si>
  <si>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</si>
  <si>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</si>
  <si>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</si>
  <si>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</si>
  <si>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</si>
  <si>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</si>
  <si>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</si>
  <si>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</si>
  <si>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</si>
  <si>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</si>
  <si>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</si>
  <si>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</si>
  <si>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</si>
  <si>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</si>
  <si>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</si>
  <si>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</si>
  <si>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</si>
  <si>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</si>
  <si>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</si>
  <si>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</si>
  <si>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</si>
  <si>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</si>
  <si>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</si>
  <si>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</si>
  <si>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</si>
  <si>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</si>
  <si>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</si>
  <si>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</si>
  <si>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</si>
  <si>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</si>
  <si>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</si>
  <si>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</si>
  <si>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</si>
  <si>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</si>
  <si>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</si>
  <si>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</si>
  <si>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</si>
  <si>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</si>
  <si>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</si>
  <si>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</si>
  <si>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</si>
  <si>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</si>
  <si>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</si>
  <si>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</si>
  <si>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</si>
  <si>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</si>
  <si>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</si>
  <si>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</si>
  <si>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</si>
  <si>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</si>
  <si>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</si>
  <si>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</si>
  <si>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</si>
  <si>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</si>
  <si>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</si>
  <si>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</si>
  <si>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</si>
  <si>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</si>
  <si>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</si>
  <si>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</si>
  <si>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</si>
  <si>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</si>
  <si>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</si>
  <si>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</si>
  <si>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</si>
  <si>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</si>
  <si>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</si>
  <si>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</si>
  <si>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</si>
  <si>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</si>
  <si>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</si>
  <si>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</si>
  <si>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</si>
  <si>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</si>
  <si>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</si>
  <si>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</si>
  <si>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</si>
  <si>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</si>
  <si>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</si>
  <si>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</si>
  <si>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</si>
  <si>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</si>
  <si>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</si>
  <si>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</si>
  <si>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</si>
  <si>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</si>
  <si>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</si>
  <si>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</si>
  <si>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</si>
  <si>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</si>
  <si>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</si>
  <si>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</si>
  <si>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</si>
  <si>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</si>
  <si>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</si>
  <si>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</si>
  <si>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</si>
  <si>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</si>
  <si>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</si>
  <si>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</si>
  <si>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</si>
  <si>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</si>
  <si>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</si>
  <si>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</si>
  <si>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</si>
  <si>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</si>
  <si>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</si>
  <si>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</si>
  <si>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</si>
  <si>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</si>
  <si>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</si>
  <si>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</si>
  <si>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</si>
  <si>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</si>
  <si>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</si>
  <si>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</si>
  <si>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</si>
  <si>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</si>
  <si>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</si>
  <si>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</si>
  <si>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</si>
  <si>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</si>
  <si>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</si>
  <si>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</si>
  <si>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</si>
  <si>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</si>
  <si>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</si>
  <si>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</si>
  <si>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</si>
  <si>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</si>
  <si>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</si>
  <si>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</si>
  <si>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</si>
  <si>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</si>
  <si>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</si>
  <si>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</si>
  <si>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</si>
  <si>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</si>
  <si>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</si>
  <si>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</si>
  <si>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</si>
  <si>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</si>
  <si>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</si>
  <si>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</si>
  <si>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</si>
  <si>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</si>
  <si>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</si>
  <si>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</si>
  <si>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</si>
  <si>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</si>
  <si>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</si>
  <si>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</si>
  <si>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</si>
  <si>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</si>
  <si>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</si>
  <si>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</si>
  <si>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</si>
  <si>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</si>
  <si>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</si>
  <si>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</si>
  <si>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</si>
  <si>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</si>
  <si>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</si>
  <si>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</si>
  <si>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</si>
  <si>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</si>
  <si>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</si>
  <si>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</si>
  <si>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</si>
  <si>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</si>
  <si>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</si>
  <si>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</si>
  <si>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</si>
  <si>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</si>
  <si>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</si>
  <si>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</si>
  <si>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</si>
  <si>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</si>
  <si>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</si>
  <si>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</si>
  <si>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</si>
  <si>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</si>
  <si>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</si>
  <si>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</si>
  <si>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</si>
  <si>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</si>
  <si>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</si>
  <si>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</si>
  <si>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</si>
  <si>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</si>
  <si>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</si>
  <si>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</si>
  <si>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</si>
  <si>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</si>
  <si>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</si>
  <si>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</si>
  <si>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</si>
  <si>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</si>
  <si>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</si>
  <si>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</si>
  <si>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</si>
  <si>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</si>
  <si>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</si>
  <si>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</si>
  <si>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</si>
  <si>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</si>
  <si>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</si>
  <si>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</si>
  <si>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</si>
  <si>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</si>
  <si>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</si>
  <si>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</si>
  <si>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</si>
  <si>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</si>
  <si>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</si>
  <si>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</si>
  <si>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</si>
  <si>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</si>
  <si>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</si>
  <si>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</si>
  <si>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</si>
  <si>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</si>
  <si>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</si>
  <si>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</si>
  <si>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</si>
  <si>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</si>
  <si>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</si>
  <si>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</si>
  <si>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</si>
  <si>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</si>
  <si>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</si>
  <si>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</si>
  <si>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</si>
  <si>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</si>
  <si>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</si>
  <si>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</si>
  <si>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</si>
  <si>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</si>
  <si>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</si>
  <si>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</si>
  <si>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</si>
  <si>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</si>
  <si>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</si>
  <si>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</si>
  <si>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</si>
  <si>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</si>
  <si>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</si>
  <si>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</si>
  <si>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</si>
  <si>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</si>
  <si>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</si>
  <si>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</si>
  <si>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</si>
  <si>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</si>
  <si>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</si>
  <si>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</si>
  <si>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</si>
  <si>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</si>
  <si>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</si>
  <si>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</si>
  <si>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</si>
  <si>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</si>
  <si>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</si>
  <si>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</si>
  <si>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</si>
  <si>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</si>
  <si>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</si>
  <si>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</si>
  <si>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</si>
  <si>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</si>
  <si>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</si>
  <si>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</si>
  <si>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</si>
  <si>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Loup</t>
  </si>
  <si>
    <t xml:space="preserve">Tourrette sur Loup</t>
  </si>
  <si>
    <t xml:space="preserve">06700175</t>
  </si>
  <si>
    <t xml:space="preserve">RCS PACA 2015</t>
  </si>
  <si>
    <t xml:space="preserve">radier</t>
  </si>
  <si>
    <t xml:space="preserve">pl. lent</t>
  </si>
  <si>
    <t xml:space="preserve">faible</t>
  </si>
  <si>
    <t xml:space="preserve">peu abondant</t>
  </si>
  <si>
    <t xml:space="preserve">Référence des noms taxons</t>
  </si>
  <si>
    <t xml:space="preserve">Loup à Tourettes sur L.</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</si>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</sst>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129"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30" activeCellId="0" sqref="P3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42213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13.45</v>
      </c>
      <c r="N5" s="352"/>
      <c r="O5" s="353" t="s">
        <v>703</v>
      </c>
      <c r="P5" s="354" t="n">
        <v>13.1764705882353</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3461</v>
      </c>
      <c r="Q6" s="367"/>
      <c r="R6" s="309"/>
      <c r="S6" s="309"/>
      <c r="T6" s="309"/>
      <c r="U6" s="309"/>
      <c r="V6" s="309"/>
      <c r="W6" s="323"/>
    </row>
    <row r="7" customFormat="false" ht="12.75" hidden="false" customHeight="false" outlineLevel="0" collapsed="false">
      <c r="A7" s="368" t="s">
        <v>3389</v>
      </c>
      <c r="B7" s="369" t="n">
        <v>76</v>
      </c>
      <c r="C7" s="370" t="n">
        <v>24</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13</v>
      </c>
      <c r="P8" s="384" t="n">
        <f aca="false">IF(ISERROR(AVERAGE(K23:K82)),"  ",AVERAGE(K23:K82))</f>
        <v>1.84615384615385</v>
      </c>
      <c r="Q8" s="385"/>
      <c r="R8" s="309"/>
      <c r="S8" s="309"/>
      <c r="T8" s="309"/>
      <c r="U8" s="309"/>
      <c r="V8" s="309"/>
      <c r="W8" s="323"/>
    </row>
    <row r="9" customFormat="false" ht="12.75" hidden="false" customHeight="false" outlineLevel="0" collapsed="false">
      <c r="A9" s="342" t="s">
        <v>3395</v>
      </c>
      <c r="B9" s="386" t="n">
        <v>6.8</v>
      </c>
      <c r="C9" s="387" t="n">
        <v>2.9</v>
      </c>
      <c r="D9" s="388"/>
      <c r="E9" s="388"/>
      <c r="F9" s="389" t="n">
        <f aca="false">($B9*$B$7+$C9*$C$7)/100</f>
        <v>5.864</v>
      </c>
      <c r="G9" s="390"/>
      <c r="H9" s="345"/>
      <c r="I9" s="309"/>
      <c r="J9" s="391"/>
      <c r="K9" s="392"/>
      <c r="L9" s="375"/>
      <c r="M9" s="393"/>
      <c r="N9" s="383" t="s">
        <v>3396</v>
      </c>
      <c r="O9" s="384" t="n">
        <f aca="false">IF(ISERROR(STDEVP(J23:J82))," ",STDEVP(J23:J82))</f>
        <v>3.39683110243379</v>
      </c>
      <c r="P9" s="384" t="n">
        <f aca="false">IF(ISERROR(STDEVP(K23:K82)),"  ",STDEVP(K23:K82))</f>
        <v>0.661717328234048</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6</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9</v>
      </c>
      <c r="M13" s="409"/>
      <c r="N13" s="417" t="s">
        <v>3407</v>
      </c>
      <c r="O13" s="418" t="n">
        <f aca="false">COUNTIF(F23:F82,"&gt;0")</f>
        <v>19</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2</v>
      </c>
      <c r="M14" s="409"/>
      <c r="N14" s="420" t="s">
        <v>3410</v>
      </c>
      <c r="O14" s="421" t="n">
        <f aca="false">COUNTIF($J$23:$J$82,"&gt;-1")</f>
        <v>13</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v>
      </c>
      <c r="M15" s="409"/>
      <c r="N15" s="417" t="s">
        <v>3413</v>
      </c>
      <c r="O15" s="418" t="n">
        <f aca="false">COUNTIF(K23:K82,"=1")</f>
        <v>4</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7</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0.68421052631579</v>
      </c>
      <c r="N17" s="417" t="s">
        <v>3418</v>
      </c>
      <c r="O17" s="418" t="n">
        <f aca="false">COUNTIF(K23:K82,"=3")</f>
        <v>2</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6.84</v>
      </c>
      <c r="C20" s="461" t="n">
        <f aca="false">SUM(C23:C62)</f>
        <v>2.905</v>
      </c>
      <c r="D20" s="462"/>
      <c r="E20" s="463" t="s">
        <v>3420</v>
      </c>
      <c r="F20" s="464" t="n">
        <f aca="false">($B20*$B$7+$C20*$C$7)/100</f>
        <v>5.8956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5.1984</v>
      </c>
      <c r="C21" s="472" t="n">
        <f aca="false">C20*C7/100</f>
        <v>0.6972</v>
      </c>
      <c r="D21" s="473" t="s">
        <v>3423</v>
      </c>
      <c r="E21" s="474"/>
      <c r="F21" s="475" t="n">
        <f aca="false">B21+C21</f>
        <v>5.8956</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2</v>
      </c>
      <c r="C23" s="502" t="n">
        <v>2.5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2.12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2.12</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150</v>
      </c>
      <c r="B24" s="519" t="n">
        <v>0.1</v>
      </c>
      <c r="C24" s="520" t="n">
        <v>0.12</v>
      </c>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0.1048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0.1048</v>
      </c>
      <c r="S24" s="514" t="n">
        <f aca="false">IF(OR(ISTEXT(H24),R24=0),"",IF(R24&lt;0.1,1,IF(R24&lt;1,2,IF(R24&lt;10,3,IF(R24&lt;50,4,IF(R24&gt;=50,5,""))))))</f>
        <v>2</v>
      </c>
      <c r="T24" s="514" t="n">
        <f aca="false">IF(ISERROR(S24*J24),0,S24*J24)</f>
        <v>24</v>
      </c>
      <c r="U24" s="514" t="n">
        <f aca="false">IF(ISERROR(S24*J24*K24),0,S24*J24*K24)</f>
        <v>48</v>
      </c>
      <c r="V24" s="530" t="n">
        <f aca="false">IF(ISERROR(S24*K24),0,S24*K24)</f>
        <v>4</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194</v>
      </c>
      <c r="B25" s="519" t="n">
        <v>0.3</v>
      </c>
      <c r="C25" s="520" t="n">
        <v>0.005</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0.2292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0.2292</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290</v>
      </c>
      <c r="B26" s="519"/>
      <c r="C26" s="520" t="n">
        <v>0.005</v>
      </c>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0.0012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0.0012</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308</v>
      </c>
      <c r="B27" s="519"/>
      <c r="C27" s="520" t="n">
        <v>0.01</v>
      </c>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0.0024</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0.0024</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342</v>
      </c>
      <c r="B28" s="519"/>
      <c r="C28" s="520" t="n">
        <v>0.005</v>
      </c>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0.0012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0.0012</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454</v>
      </c>
      <c r="B29" s="519" t="n">
        <v>0.005</v>
      </c>
      <c r="C29" s="520"/>
      <c r="D29" s="521" t="str">
        <f aca="false">IF(ISERROR(VLOOKUP($A29,'liste reference'!$A$6:$B$1174,2,0)),IF(ISERROR(VLOOKUP($A29,'liste reference'!$B$6:$B$1174,1,0)),"",VLOOKUP($A29,'liste reference'!$B$6:$B$1174,1,0)),VLOOKUP($A29,'liste reference'!$A$6:$B$1174,2,0))</f>
        <v>Conocephalum conicum</v>
      </c>
      <c r="E29" s="522" t="e">
        <f aca="false">IF(D29="",0,VLOOKUP(D29,D$22:D28,1,0))</f>
        <v>#N/A</v>
      </c>
      <c r="F29" s="523" t="n">
        <f aca="false">IF(AND(OR(A29="",A29="!!!!!!"),B29="",C29=""),"",IF(OR(AND(B29="",C29=""),ISERROR(C29+B29)),"!!!",($B29*$B$7+$C29*$C$7)/100))</f>
        <v>0.0038</v>
      </c>
      <c r="G29" s="524" t="str">
        <f aca="false">IF(A29="","",IF(ISERROR(VLOOKUP($A29,'liste reference'!$A$6:$Q$1174,9,0)),IF(ISERROR(VLOOKUP($A29,'liste reference'!$B$6:$Q$1174,8,0)),"    -",VLOOKUP($A29,'liste reference'!$B$6:$Q$1174,8,0)),VLOOKUP($A29,'liste reference'!$A$6:$Q$1174,9,0)))</f>
        <v>BRh</v>
      </c>
      <c r="H29" s="525" t="n">
        <f aca="false">IF(A29="","x",IF(ISERROR(VLOOKUP($A29,'liste reference'!$A$6:$Q$1174,10,0)),IF(ISERROR(VLOOKUP($A29,'liste reference'!$B$6:$Q$1174,9,0)),"x",VLOOKUP($A29,'liste reference'!$B$6:$Q$1174,9,0)),VLOOKUP($A29,'liste reference'!$A$6:$Q$1174,10,0)))</f>
        <v>4</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Conocephalum conicum</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1176</v>
      </c>
      <c r="R29" s="513" t="n">
        <f aca="false">IF(ISTEXT(H29),"",(B29*$B$7/100)+(C29*$C$7/100))</f>
        <v>0.0038</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CONCON</v>
      </c>
      <c r="Z29" s="499" t="n">
        <f aca="false">IF(ISERROR(MATCH(A29,'liste reference'!$A$6:$A$1174,0)),IF(ISERROR(MATCH(A29,'liste reference'!$B$6:$B$1174,0)),"",(MATCH(A29,'liste reference'!$B$6:$B$1174,0))),(MATCH(A29,'liste reference'!$A$6:$A$1174,0)))</f>
        <v>139</v>
      </c>
    </row>
    <row r="30" customFormat="false" ht="12.75" hidden="false" customHeight="false" outlineLevel="0" collapsed="false">
      <c r="A30" s="518" t="s">
        <v>464</v>
      </c>
      <c r="B30" s="519" t="n">
        <v>0.005</v>
      </c>
      <c r="C30" s="520"/>
      <c r="D30" s="521" t="str">
        <f aca="false">IF(ISERROR(VLOOKUP($A30,'liste reference'!$A$6:$B$1174,2,0)),IF(ISERROR(VLOOKUP($A30,'liste reference'!$B$6:$B$1174,1,0)),"",VLOOKUP($A30,'liste reference'!$B$6:$B$1174,1,0)),VLOOKUP($A30,'liste reference'!$A$6:$B$1174,2,0))</f>
        <v>Jungermannia atrovirens</v>
      </c>
      <c r="E30" s="522" t="e">
        <f aca="false">IF(D30="",0,VLOOKUP(D30,D$22:D29,1,0))</f>
        <v>#N/A</v>
      </c>
      <c r="F30" s="523" t="n">
        <f aca="false">IF(AND(OR(A30="",A30="!!!!!!"),B30="",C30=""),"",IF(OR(AND(B30="",C30=""),ISERROR(C30+B30)),"!!!",($B30*$B$7+$C30*$C$7)/100))</f>
        <v>0.0038</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n">
        <f aca="false">IF(ISNUMBER($H30),IF(ISERROR(VLOOKUP($A30,'liste reference'!$A$6:$Q$1174,6,0)),IF(ISERROR(VLOOKUP($A30,'liste reference'!$B$6:$Q$1174,5,0)),"nu",VLOOKUP($A30,'liste reference'!$B$6:$Q$1174,5,0)),VLOOKUP($A30,'liste reference'!$A$6:$Q$1174,6,0)),"nu")</f>
        <v>19</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Jungermannia atrovirens</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19820</v>
      </c>
      <c r="R30" s="513" t="n">
        <f aca="false">IF(ISTEXT(H30),"",(B30*$B$7/100)+(C30*$C$7/100))</f>
        <v>0.0038</v>
      </c>
      <c r="S30" s="514" t="n">
        <f aca="false">IF(OR(ISTEXT(H30),R30=0),"",IF(R30&lt;0.1,1,IF(R30&lt;1,2,IF(R30&lt;10,3,IF(R30&lt;50,4,IF(R30&gt;=50,5,""))))))</f>
        <v>1</v>
      </c>
      <c r="T30" s="514" t="n">
        <f aca="false">IF(ISERROR(S30*J30),0,S30*J30)</f>
        <v>19</v>
      </c>
      <c r="U30" s="514" t="n">
        <f aca="false">IF(ISERROR(S30*J30*K30),0,S30*J30*K30)</f>
        <v>57</v>
      </c>
      <c r="V30" s="530" t="n">
        <f aca="false">IF(ISERROR(S30*K30),0,S30*K30)</f>
        <v>3</v>
      </c>
      <c r="W30" s="531"/>
      <c r="X30" s="532"/>
      <c r="Y30" s="517" t="str">
        <f aca="false">IF(AND(ISNUMBER(F30),OR(A30="",A30="!!!!!!")),"!!!!!!",IF(A30="new.cod","NEWCOD",IF(AND((Z30=""),ISTEXT(A30),A30&lt;&gt;"!!!!!!"),A30,IF(Z30="","",INDEX('liste reference'!$A$6:$A$1174,Z30)))))</f>
        <v>JUGATR</v>
      </c>
      <c r="Z30" s="499" t="n">
        <f aca="false">IF(ISERROR(MATCH(A30,'liste reference'!$A$6:$A$1174,0)),IF(ISERROR(MATCH(A30,'liste reference'!$B$6:$B$1174,0)),"",(MATCH(A30,'liste reference'!$B$6:$B$1174,0))),(MATCH(A30,'liste reference'!$A$6:$A$1174,0)))</f>
        <v>142</v>
      </c>
    </row>
    <row r="31" customFormat="false" ht="12.75" hidden="false" customHeight="false" outlineLevel="0" collapsed="false">
      <c r="A31" s="518" t="s">
        <v>556</v>
      </c>
      <c r="B31" s="519" t="n">
        <v>0.4</v>
      </c>
      <c r="C31" s="520" t="n">
        <v>0.01</v>
      </c>
      <c r="D31" s="521" t="str">
        <f aca="false">IF(ISERROR(VLOOKUP($A31,'liste reference'!$A$6:$B$1174,2,0)),IF(ISERROR(VLOOKUP($A31,'liste reference'!$B$6:$B$1174,1,0)),"",VLOOKUP($A31,'liste reference'!$B$6:$B$1174,1,0)),VLOOKUP($A31,'liste reference'!$A$6:$B$1174,2,0))</f>
        <v>Pellia sp.</v>
      </c>
      <c r="E31" s="522" t="e">
        <f aca="false">IF(D31="",0,VLOOKUP(D31,D$22:D30,1,0))</f>
        <v>#N/A</v>
      </c>
      <c r="F31" s="523" t="n">
        <f aca="false">IF(AND(OR(A31="",A31="!!!!!!"),B31="",C31=""),"",IF(OR(AND(B31="",C31=""),ISERROR(C31+B31)),"!!!",($B31*$B$7+$C31*$C$7)/100))</f>
        <v>0.3064</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Pellia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1196</v>
      </c>
      <c r="R31" s="513" t="n">
        <f aca="false">IF(ISTEXT(H31),"",(B31*$B$7/100)+(C31*$C$7/100))</f>
        <v>0.3064</v>
      </c>
      <c r="S31" s="514" t="n">
        <f aca="false">IF(OR(ISTEXT(H31),R31=0),"",IF(R31&lt;0.1,1,IF(R31&lt;1,2,IF(R31&lt;10,3,IF(R31&lt;50,4,IF(R31&gt;=50,5,""))))))</f>
        <v>2</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PELSPX</v>
      </c>
      <c r="Z31" s="499" t="n">
        <f aca="false">IF(ISERROR(MATCH(A31,'liste reference'!$A$6:$A$1174,0)),IF(ISERROR(MATCH(A31,'liste reference'!$B$6:$B$1174,0)),"",(MATCH(A31,'liste reference'!$B$6:$B$1174,0))),(MATCH(A31,'liste reference'!$A$6:$A$1174,0)))</f>
        <v>170</v>
      </c>
    </row>
    <row r="32" customFormat="false" ht="12.75" hidden="false" customHeight="false" outlineLevel="0" collapsed="false">
      <c r="A32" s="518" t="s">
        <v>703</v>
      </c>
      <c r="B32" s="519" t="n">
        <v>1.5</v>
      </c>
      <c r="C32" s="520"/>
      <c r="D32" s="521" t="str">
        <f aca="false">IF(ISERROR(VLOOKUP($A32,'liste reference'!$A$6:$B$1174,2,0)),IF(ISERROR(VLOOKUP($A32,'liste reference'!$B$6:$B$1174,1,0)),"",VLOOKUP($A32,'liste reference'!$B$6:$B$1174,1,0)),VLOOKUP($A32,'liste reference'!$A$6:$B$1174,2,0))</f>
        <v>Cinclidotus aquaticus</v>
      </c>
      <c r="E32" s="522" t="e">
        <f aca="false">IF(D32="",0,VLOOKUP(D32,D$22:D31,1,0))</f>
        <v>#N/A</v>
      </c>
      <c r="F32" s="523" t="n">
        <f aca="false">IF(AND(OR(A32="",A32="!!!!!!"),B32="",C32=""),"",IF(OR(AND(B32="",C32=""),ISERROR(C32+B32)),"!!!",($B32*$B$7+$C32*$C$7)/100))</f>
        <v>1.14</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Cinclidotus aquaticus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1318</v>
      </c>
      <c r="R32" s="513" t="n">
        <f aca="false">IF(ISTEXT(H32),"",(B32*$B$7/100)+(C32*$C$7/100))</f>
        <v>1.14</v>
      </c>
      <c r="S32" s="514" t="n">
        <f aca="false">IF(OR(ISTEXT(H32),R32=0),"",IF(R32&lt;0.1,1,IF(R32&lt;1,2,IF(R32&lt;10,3,IF(R32&lt;50,4,IF(R32&gt;=50,5,""))))))</f>
        <v>3</v>
      </c>
      <c r="T32" s="514" t="n">
        <f aca="false">IF(ISERROR(S32*J32),0,S32*J32)</f>
        <v>45</v>
      </c>
      <c r="U32" s="514" t="n">
        <f aca="false">IF(ISERROR(S32*J32*K32),0,S32*J32*K32)</f>
        <v>90</v>
      </c>
      <c r="V32" s="530" t="n">
        <f aca="false">IF(ISERROR(S32*K32),0,S32*K32)</f>
        <v>6</v>
      </c>
      <c r="W32" s="531"/>
      <c r="X32" s="532"/>
      <c r="Y32" s="517" t="str">
        <f aca="false">IF(AND(ISNUMBER(F32),OR(A32="",A32="!!!!!!")),"!!!!!!",IF(A32="new.cod","NEWCOD",IF(AND((Z32=""),ISTEXT(A32),A32&lt;&gt;"!!!!!!"),A32,IF(Z32="","",INDEX('liste reference'!$A$6:$A$1174,Z32)))))</f>
        <v>CINAQU</v>
      </c>
      <c r="Z32" s="499" t="n">
        <f aca="false">IF(ISERROR(MATCH(A32,'liste reference'!$A$6:$A$1174,0)),IF(ISERROR(MATCH(A32,'liste reference'!$B$6:$B$1174,0)),"",(MATCH(A32,'liste reference'!$B$6:$B$1174,0))),(MATCH(A32,'liste reference'!$A$6:$A$1174,0)))</f>
        <v>221</v>
      </c>
    </row>
    <row r="33" customFormat="false" ht="12.75" hidden="false" customHeight="false" outlineLevel="0" collapsed="false">
      <c r="A33" s="518" t="s">
        <v>711</v>
      </c>
      <c r="B33" s="519" t="n">
        <v>0.5</v>
      </c>
      <c r="C33" s="520"/>
      <c r="D33" s="521" t="str">
        <f aca="false">IF(ISERROR(VLOOKUP($A33,'liste reference'!$A$6:$B$1174,2,0)),IF(ISERROR(VLOOKUP($A33,'liste reference'!$B$6:$B$1174,1,0)),"",VLOOKUP($A33,'liste reference'!$B$6:$B$1174,1,0)),VLOOKUP($A33,'liste reference'!$A$6:$B$1174,2,0))</f>
        <v>Cinclidotus riparius</v>
      </c>
      <c r="E33" s="522" t="e">
        <f aca="false">IF(D33="",0,VLOOKUP(D33,D$22:D32,1,0))</f>
        <v>#N/A</v>
      </c>
      <c r="F33" s="523" t="n">
        <f aca="false">IF(AND(OR(A33="",A33="!!!!!!"),B33="",C33=""),"",IF(OR(AND(B33="",C33=""),ISERROR(C33+B33)),"!!!",($B33*$B$7+$C33*$C$7)/100))</f>
        <v>0.38</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13</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Cinclidotus riparius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1321</v>
      </c>
      <c r="R33" s="513" t="n">
        <f aca="false">IF(ISTEXT(H33),"",(B33*$B$7/100)+(C33*$C$7/100))</f>
        <v>0.38</v>
      </c>
      <c r="S33" s="514" t="n">
        <f aca="false">IF(OR(ISTEXT(H33),R33=0),"",IF(R33&lt;0.1,1,IF(R33&lt;1,2,IF(R33&lt;10,3,IF(R33&lt;50,4,IF(R33&gt;=50,5,""))))))</f>
        <v>2</v>
      </c>
      <c r="T33" s="514" t="n">
        <f aca="false">IF(ISERROR(S33*J33),0,S33*J33)</f>
        <v>26</v>
      </c>
      <c r="U33" s="514" t="n">
        <f aca="false">IF(ISERROR(S33*J33*K33),0,S33*J33*K33)</f>
        <v>52</v>
      </c>
      <c r="V33" s="530" t="n">
        <f aca="false">IF(ISERROR(S33*K33),0,S33*K33)</f>
        <v>4</v>
      </c>
      <c r="W33" s="531"/>
      <c r="X33" s="532"/>
      <c r="Y33" s="517" t="str">
        <f aca="false">IF(AND(ISNUMBER(F33),OR(A33="",A33="!!!!!!")),"!!!!!!",IF(A33="new.cod","NEWCOD",IF(AND((Z33=""),ISTEXT(A33),A33&lt;&gt;"!!!!!!"),A33,IF(Z33="","",INDEX('liste reference'!$A$6:$A$1174,Z33)))))</f>
        <v>CINRIP</v>
      </c>
      <c r="Z33" s="499" t="n">
        <f aca="false">IF(ISERROR(MATCH(A33,'liste reference'!$A$6:$A$1174,0)),IF(ISERROR(MATCH(A33,'liste reference'!$B$6:$B$1174,0)),"",(MATCH(A33,'liste reference'!$B$6:$B$1174,0))),(MATCH(A33,'liste reference'!$A$6:$A$1174,0)))</f>
        <v>224</v>
      </c>
    </row>
    <row r="34" customFormat="false" ht="12.75" hidden="false" customHeight="false" outlineLevel="0" collapsed="false">
      <c r="A34" s="518" t="s">
        <v>722</v>
      </c>
      <c r="B34" s="519" t="n">
        <v>0.01</v>
      </c>
      <c r="C34" s="520"/>
      <c r="D34" s="521" t="str">
        <f aca="false">IF(ISERROR(VLOOKUP($A34,'liste reference'!$A$6:$B$1174,2,0)),IF(ISERROR(VLOOKUP($A34,'liste reference'!$B$6:$B$1174,1,0)),"",VLOOKUP($A34,'liste reference'!$B$6:$B$1174,1,0)),VLOOKUP($A34,'liste reference'!$A$6:$B$1174,2,0))</f>
        <v>Cratoneuron filicinum</v>
      </c>
      <c r="E34" s="522" t="e">
        <f aca="false">IF(D34="",0,VLOOKUP(D34,D$22:D33,1,0))</f>
        <v>#N/A</v>
      </c>
      <c r="F34" s="523" t="n">
        <f aca="false">IF(AND(OR(A34="",A34="!!!!!!"),B34="",C34=""),"",IF(OR(AND(B34="",C34=""),ISERROR(C34+B34)),"!!!",($B34*$B$7+$C34*$C$7)/100))</f>
        <v>0.0076</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18</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Cratoneuron filicinum</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1233</v>
      </c>
      <c r="R34" s="513" t="n">
        <f aca="false">IF(ISTEXT(H34),"",(B34*$B$7/100)+(C34*$C$7/100))</f>
        <v>0.0076</v>
      </c>
      <c r="S34" s="514" t="n">
        <f aca="false">IF(OR(ISTEXT(H34),R34=0),"",IF(R34&lt;0.1,1,IF(R34&lt;1,2,IF(R34&lt;10,3,IF(R34&lt;50,4,IF(R34&gt;=50,5,""))))))</f>
        <v>1</v>
      </c>
      <c r="T34" s="514" t="n">
        <f aca="false">IF(ISERROR(S34*J34),0,S34*J34)</f>
        <v>18</v>
      </c>
      <c r="U34" s="514" t="n">
        <f aca="false">IF(ISERROR(S34*J34*K34),0,S34*J34*K34)</f>
        <v>54</v>
      </c>
      <c r="V34" s="530" t="n">
        <f aca="false">IF(ISERROR(S34*K34),0,S34*K34)</f>
        <v>3</v>
      </c>
      <c r="W34" s="531"/>
      <c r="X34" s="532"/>
      <c r="Y34" s="517" t="str">
        <f aca="false">IF(AND(ISNUMBER(F34),OR(A34="",A34="!!!!!!")),"!!!!!!",IF(A34="new.cod","NEWCOD",IF(AND((Z34=""),ISTEXT(A34),A34&lt;&gt;"!!!!!!"),A34,IF(Z34="","",INDEX('liste reference'!$A$6:$A$1174,Z34)))))</f>
        <v>CRAFIL</v>
      </c>
      <c r="Z34" s="499" t="n">
        <f aca="false">IF(ISERROR(MATCH(A34,'liste reference'!$A$6:$A$1174,0)),IF(ISERROR(MATCH(A34,'liste reference'!$B$6:$B$1174,0)),"",(MATCH(A34,'liste reference'!$B$6:$B$1174,0))),(MATCH(A34,'liste reference'!$A$6:$A$1174,0)))</f>
        <v>227</v>
      </c>
    </row>
    <row r="35" customFormat="false" ht="12.75" hidden="false" customHeight="false" outlineLevel="0" collapsed="false">
      <c r="A35" s="518" t="s">
        <v>829</v>
      </c>
      <c r="B35" s="519" t="n">
        <v>2</v>
      </c>
      <c r="C35" s="520" t="n">
        <v>0.2</v>
      </c>
      <c r="D35" s="521" t="str">
        <f aca="false">IF(ISERROR(VLOOKUP($A35,'liste reference'!$A$6:$B$1174,2,0)),IF(ISERROR(VLOOKUP($A35,'liste reference'!$B$6:$B$1174,1,0)),"",VLOOKUP($A35,'liste reference'!$B$6:$B$1174,1,0)),VLOOKUP($A35,'liste reference'!$A$6:$B$1174,2,0))</f>
        <v>Fissidens crassipes</v>
      </c>
      <c r="E35" s="522" t="e">
        <f aca="false">IF(D35="",0,VLOOKUP(D35,D$22:D34,1,0))</f>
        <v>#N/A</v>
      </c>
      <c r="F35" s="523" t="n">
        <f aca="false">IF(AND(OR(A35="",A35="!!!!!!"),B35="",C35=""),"",IF(OR(AND(B35="",C35=""),ISERROR(C35+B35)),"!!!",($B35*$B$7+$C35*$C$7)/100))</f>
        <v>1.568</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Fissidens crassipes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1294</v>
      </c>
      <c r="R35" s="513" t="n">
        <f aca="false">IF(ISTEXT(H35),"",(B35*$B$7/100)+(C35*$C$7/100))</f>
        <v>1.568</v>
      </c>
      <c r="S35" s="514" t="n">
        <f aca="false">IF(OR(ISTEXT(H35),R35=0),"",IF(R35&lt;0.1,1,IF(R35&lt;1,2,IF(R35&lt;10,3,IF(R35&lt;50,4,IF(R35&gt;=50,5,""))))))</f>
        <v>3</v>
      </c>
      <c r="T35" s="514" t="n">
        <f aca="false">IF(ISERROR(S35*J35),0,S35*J35)</f>
        <v>36</v>
      </c>
      <c r="U35" s="514" t="n">
        <f aca="false">IF(ISERROR(S35*J35*K35),0,S35*J35*K35)</f>
        <v>72</v>
      </c>
      <c r="V35" s="530" t="n">
        <f aca="false">IF(ISERROR(S35*K35),0,S35*K35)</f>
        <v>6</v>
      </c>
      <c r="W35" s="531"/>
      <c r="X35" s="532"/>
      <c r="Y35" s="517" t="str">
        <f aca="false">IF(AND(ISNUMBER(F35),OR(A35="",A35="!!!!!!")),"!!!!!!",IF(A35="new.cod","NEWCOD",IF(AND((Z35=""),ISTEXT(A35),A35&lt;&gt;"!!!!!!"),A35,IF(Z35="","",INDEX('liste reference'!$A$6:$A$1174,Z35)))))</f>
        <v>FISCRA</v>
      </c>
      <c r="Z35" s="499" t="n">
        <f aca="false">IF(ISERROR(MATCH(A35,'liste reference'!$A$6:$A$1174,0)),IF(ISERROR(MATCH(A35,'liste reference'!$B$6:$B$1174,0)),"",(MATCH(A35,'liste reference'!$B$6:$B$1174,0))),(MATCH(A35,'liste reference'!$A$6:$A$1174,0)))</f>
        <v>255</v>
      </c>
    </row>
    <row r="36" customFormat="false" ht="12.75" hidden="false" customHeight="false" outlineLevel="0" collapsed="false">
      <c r="A36" s="518" t="s">
        <v>1121</v>
      </c>
      <c r="B36" s="519" t="n">
        <v>0.01</v>
      </c>
      <c r="C36" s="520"/>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0.0076</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0.0076</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1200</v>
      </c>
      <c r="B37" s="519" t="n">
        <v>0.01</v>
      </c>
      <c r="C37" s="520"/>
      <c r="D37" s="521" t="str">
        <f aca="false">IF(ISERROR(VLOOKUP($A37,'liste reference'!$A$6:$B$1174,2,0)),IF(ISERROR(VLOOKUP($A37,'liste reference'!$B$6:$B$1174,1,0)),"",VLOOKUP($A37,'liste reference'!$B$6:$B$1174,1,0)),VLOOKUP($A37,'liste reference'!$A$6:$B$1174,2,0))</f>
        <v>Thamnobryum alopecurum</v>
      </c>
      <c r="E37" s="522" t="e">
        <f aca="false">IF(D37="",0,VLOOKUP(D37,D$22:D36,1,0))</f>
        <v>#N/A</v>
      </c>
      <c r="F37" s="523" t="n">
        <f aca="false">IF(AND(OR(A37="",A37="!!!!!!"),B37="",C37=""),"",IF(OR(AND(B37="",C37=""),ISERROR(C37+B37)),"!!!",($B37*$B$7+$C37*$C$7)/100))</f>
        <v>0.0076</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15</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Thamnobryum alopecurum</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1344</v>
      </c>
      <c r="R37" s="513" t="n">
        <f aca="false">IF(ISTEXT(H37),"",(B37*$B$7/100)+(C37*$C$7/100))</f>
        <v>0.0076</v>
      </c>
      <c r="S37" s="514" t="n">
        <f aca="false">IF(OR(ISTEXT(H37),R37=0),"",IF(R37&lt;0.1,1,IF(R37&lt;1,2,IF(R37&lt;10,3,IF(R37&lt;50,4,IF(R37&gt;=50,5,""))))))</f>
        <v>1</v>
      </c>
      <c r="T37" s="514" t="n">
        <f aca="false">IF(ISERROR(S37*J37),0,S37*J37)</f>
        <v>15</v>
      </c>
      <c r="U37" s="514" t="n">
        <f aca="false">IF(ISERROR(S37*J37*K37),0,S37*J37*K37)</f>
        <v>30</v>
      </c>
      <c r="V37" s="530" t="n">
        <f aca="false">IF(ISERROR(S37*K37),0,S37*K37)</f>
        <v>2</v>
      </c>
      <c r="W37" s="531"/>
      <c r="X37" s="532"/>
      <c r="Y37" s="517" t="str">
        <f aca="false">IF(AND(ISNUMBER(F37),OR(A37="",A37="!!!!!!")),"!!!!!!",IF(A37="new.cod","NEWCOD",IF(AND((Z37=""),ISTEXT(A37),A37&lt;&gt;"!!!!!!"),A37,IF(Z37="","",INDEX('liste reference'!$A$6:$A$1174,Z37)))))</f>
        <v>THAALO</v>
      </c>
      <c r="Z37" s="499" t="n">
        <f aca="false">IF(ISERROR(MATCH(A37,'liste reference'!$A$6:$A$1174,0)),IF(ISERROR(MATCH(A37,'liste reference'!$B$6:$B$1174,0)),"",(MATCH(A37,'liste reference'!$B$6:$B$1174,0))),(MATCH(A37,'liste reference'!$A$6:$A$1174,0)))</f>
        <v>368</v>
      </c>
    </row>
    <row r="38" customFormat="false" ht="12.75" hidden="false" customHeight="false" outlineLevel="0" collapsed="false">
      <c r="A38" s="518" t="s">
        <v>1254</v>
      </c>
      <c r="B38" s="519"/>
      <c r="C38" s="520" t="n">
        <v>0.01</v>
      </c>
      <c r="D38" s="521" t="str">
        <f aca="false">IF(ISERROR(VLOOKUP($A38,'liste reference'!$A$6:$B$1174,2,0)),IF(ISERROR(VLOOKUP($A38,'liste reference'!$B$6:$B$1174,1,0)),"",VLOOKUP($A38,'liste reference'!$B$6:$B$1174,1,0)),VLOOKUP($A38,'liste reference'!$A$6:$B$1174,2,0))</f>
        <v>Equisetum arvense</v>
      </c>
      <c r="E38" s="522" t="e">
        <f aca="false">IF(D38="",0,VLOOKUP(D38,D$22:D37,1,0))</f>
        <v>#N/A</v>
      </c>
      <c r="F38" s="523" t="n">
        <f aca="false">IF(AND(OR(A38="",A38="!!!!!!"),B38="",C38=""),"",IF(OR(AND(B38="",C38=""),ISERROR(C38+B38)),"!!!",($B38*$B$7+$C38*$C$7)/100))</f>
        <v>0.0024</v>
      </c>
      <c r="G38" s="524" t="str">
        <f aca="false">IF(A38="","",IF(ISERROR(VLOOKUP($A38,'liste reference'!$A$6:$Q$1174,9,0)),IF(ISERROR(VLOOKUP($A38,'liste reference'!$B$6:$Q$1174,8,0)),"    -",VLOOKUP($A38,'liste reference'!$B$6:$Q$1174,8,0)),VLOOKUP($A38,'liste reference'!$A$6:$Q$1174,9,0)))</f>
        <v>PTE</v>
      </c>
      <c r="H38" s="525" t="n">
        <f aca="false">IF(A38="","x",IF(ISERROR(VLOOKUP($A38,'liste reference'!$A$6:$Q$1174,10,0)),IF(ISERROR(VLOOKUP($A38,'liste reference'!$B$6:$Q$1174,9,0)),"x",VLOOKUP($A38,'liste reference'!$B$6:$Q$1174,9,0)),VLOOKUP($A38,'liste reference'!$A$6:$Q$1174,10,0)))</f>
        <v>6</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Equisetum arvense</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1384</v>
      </c>
      <c r="R38" s="513" t="n">
        <f aca="false">IF(ISTEXT(H38),"",(B38*$B$7/100)+(C38*$C$7/100))</f>
        <v>0.0024</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EQUARV</v>
      </c>
      <c r="Z38" s="499" t="n">
        <f aca="false">IF(ISERROR(MATCH(A38,'liste reference'!$A$6:$A$1174,0)),IF(ISERROR(MATCH(A38,'liste reference'!$B$6:$B$1174,0)),"",(MATCH(A38,'liste reference'!$B$6:$B$1174,0))),(MATCH(A38,'liste reference'!$A$6:$A$1174,0)))</f>
        <v>385</v>
      </c>
    </row>
    <row r="39" customFormat="false" ht="12.75" hidden="false" customHeight="false" outlineLevel="0" collapsed="false">
      <c r="A39" s="518" t="s">
        <v>1269</v>
      </c>
      <c r="B39" s="519"/>
      <c r="C39" s="520" t="n">
        <v>0.01</v>
      </c>
      <c r="D39" s="521" t="str">
        <f aca="false">IF(ISERROR(VLOOKUP($A39,'liste reference'!$A$6:$B$1174,2,0)),IF(ISERROR(VLOOKUP($A39,'liste reference'!$B$6:$B$1174,1,0)),"",VLOOKUP($A39,'liste reference'!$B$6:$B$1174,1,0)),VLOOKUP($A39,'liste reference'!$A$6:$B$1174,2,0))</f>
        <v>Equisetum ramosissimum</v>
      </c>
      <c r="E39" s="522" t="e">
        <f aca="false">IF(D39="",0,VLOOKUP(D39,D$22:D38,1,0))</f>
        <v>#N/A</v>
      </c>
      <c r="F39" s="523" t="n">
        <f aca="false">IF(AND(OR(A39="",A39="!!!!!!"),B39="",C39=""),"",IF(OR(AND(B39="",C39=""),ISERROR(C39+B39)),"!!!",($B39*$B$7+$C39*$C$7)/100))</f>
        <v>0.0024</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Equisetum ramosissimum</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29992</v>
      </c>
      <c r="R39" s="513" t="n">
        <f aca="false">IF(ISTEXT(H39),"",(B39*$B$7/100)+(C39*$C$7/100))</f>
        <v>0.0024</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EQURAM</v>
      </c>
      <c r="Z39" s="499" t="n">
        <f aca="false">IF(ISERROR(MATCH(A39,'liste reference'!$A$6:$A$1174,0)),IF(ISERROR(MATCH(A39,'liste reference'!$B$6:$B$1174,0)),"",(MATCH(A39,'liste reference'!$B$6:$B$1174,0))),(MATCH(A39,'liste reference'!$A$6:$A$1174,0)))</f>
        <v>390</v>
      </c>
    </row>
    <row r="40" customFormat="false" ht="12.75" hidden="false" customHeight="false" outlineLevel="0" collapsed="false">
      <c r="A40" s="518" t="s">
        <v>2512</v>
      </c>
      <c r="B40" s="519"/>
      <c r="C40" s="520" t="n">
        <v>0.01</v>
      </c>
      <c r="D40" s="521" t="str">
        <f aca="false">IF(ISERROR(VLOOKUP($A40,'liste reference'!$A$6:$B$1174,2,0)),IF(ISERROR(VLOOKUP($A40,'liste reference'!$B$6:$B$1174,1,0)),"",VLOOKUP($A40,'liste reference'!$B$6:$B$1174,1,0)),VLOOKUP($A40,'liste reference'!$A$6:$B$1174,2,0))</f>
        <v>Eupatorium cannabinum</v>
      </c>
      <c r="E40" s="522" t="e">
        <f aca="false">IF(D40="",0,VLOOKUP(D40,D$22:D39,1,0))</f>
        <v>#N/A</v>
      </c>
      <c r="F40" s="523" t="n">
        <f aca="false">IF(AND(OR(A40="",A40="!!!!!!"),B40="",C40=""),"",IF(OR(AND(B40="",C40=""),ISERROR(C40+B40)),"!!!",($B40*$B$7+$C40*$C$7)/100))</f>
        <v>0.0024</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Eupatorium cannabinum</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1741</v>
      </c>
      <c r="R40" s="513" t="n">
        <f aca="false">IF(ISTEXT(H40),"",(B40*$B$7/100)+(C40*$C$7/100))</f>
        <v>0.0024</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EUPCAN</v>
      </c>
      <c r="Z40" s="499" t="n">
        <f aca="false">IF(ISERROR(MATCH(A40,'liste reference'!$A$6:$A$1174,0)),IF(ISERROR(MATCH(A40,'liste reference'!$B$6:$B$1174,0)),"",(MATCH(A40,'liste reference'!$B$6:$B$1174,0))),(MATCH(A40,'liste reference'!$A$6:$A$1174,0)))</f>
        <v>838</v>
      </c>
    </row>
    <row r="41" customFormat="false" ht="12.75" hidden="false" customHeight="false" outlineLevel="0" collapsed="false">
      <c r="A41" s="518" t="s">
        <v>2698</v>
      </c>
      <c r="B41" s="519"/>
      <c r="C41" s="520" t="n">
        <v>0.02</v>
      </c>
      <c r="D41" s="521" t="str">
        <f aca="false">IF(ISERROR(VLOOKUP($A41,'liste reference'!$A$6:$B$1174,2,0)),IF(ISERROR(VLOOKUP($A41,'liste reference'!$B$6:$B$1174,1,0)),"",VLOOKUP($A41,'liste reference'!$B$6:$B$1174,1,0)),VLOOKUP($A41,'liste reference'!$A$6:$B$1174,2,0))</f>
        <v>Lythrum salicaria</v>
      </c>
      <c r="E41" s="522" t="e">
        <f aca="false">IF(D41="",0,VLOOKUP(D41,D$22:D40,1,0))</f>
        <v>#N/A</v>
      </c>
      <c r="F41" s="523" t="n">
        <f aca="false">IF(AND(OR(A41="",A41="!!!!!!"),B41="",C41=""),"",IF(OR(AND(B41="",C41=""),ISERROR(C41+B41)),"!!!",($B41*$B$7+$C41*$C$7)/100))</f>
        <v>0.0048</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Lythrum salicaria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1823</v>
      </c>
      <c r="R41" s="513" t="n">
        <f aca="false">IF(ISTEXT(H41),"",(B41*$B$7/100)+(C41*$C$7/100))</f>
        <v>0.0048</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LYTSAL</v>
      </c>
      <c r="Z41" s="499" t="n">
        <f aca="false">IF(ISERROR(MATCH(A41,'liste reference'!$A$6:$A$1174,0)),IF(ISERROR(MATCH(A41,'liste reference'!$B$6:$B$1174,0)),"",(MATCH(A41,'liste reference'!$B$6:$B$1174,0))),(MATCH(A41,'liste reference'!$A$6:$A$1174,0)))</f>
        <v>902</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5.8956</v>
      </c>
      <c r="G83" s="452"/>
      <c r="H83" s="452"/>
      <c r="I83" s="452"/>
      <c r="J83" s="452"/>
      <c r="K83" s="452"/>
      <c r="L83" s="452"/>
      <c r="M83" s="514"/>
      <c r="N83" s="514"/>
      <c r="O83" s="514"/>
      <c r="P83" s="514"/>
      <c r="Q83" s="514"/>
      <c r="R83" s="514"/>
      <c r="S83" s="514"/>
      <c r="T83" s="514"/>
      <c r="U83" s="514"/>
      <c r="V83" s="514" t="n">
        <f aca="false">SUM(V23:V82)</f>
        <v>40</v>
      </c>
      <c r="W83" s="514"/>
      <c r="X83" s="552"/>
      <c r="Y83" s="552"/>
      <c r="Z83" s="553"/>
    </row>
    <row r="84" customFormat="false" ht="12.75" hidden="true" customHeight="false" outlineLevel="0" collapsed="false">
      <c r="A84" s="547" t="str">
        <f aca="false">A3</f>
        <v>Loup</v>
      </c>
      <c r="B84" s="481" t="str">
        <f aca="false">C3</f>
        <v>Tourrette sur Loup</v>
      </c>
      <c r="C84" s="554" t="str">
        <f aca="false">A4</f>
        <v>(Date)</v>
      </c>
      <c r="D84" s="555" t="n">
        <f aca="false">IF(OR(ISERROR(SUM($U$23:$U$82)/SUM($V$23:$V$82)),F7&lt;&gt;100),-1,SUM($U$23:$U$82)/SUM($V$23:$V$82))</f>
        <v>13.45</v>
      </c>
      <c r="E84" s="556" t="n">
        <f aca="false">O13</f>
        <v>19</v>
      </c>
      <c r="F84" s="481" t="n">
        <f aca="false">O14</f>
        <v>13</v>
      </c>
      <c r="G84" s="481" t="n">
        <f aca="false">O15</f>
        <v>4</v>
      </c>
      <c r="H84" s="481" t="n">
        <f aca="false">O16</f>
        <v>7</v>
      </c>
      <c r="I84" s="481" t="n">
        <f aca="false">O17</f>
        <v>2</v>
      </c>
      <c r="J84" s="557" t="n">
        <f aca="false">O8</f>
        <v>13</v>
      </c>
      <c r="K84" s="558" t="n">
        <f aca="false">O9</f>
        <v>3.39683110243379</v>
      </c>
      <c r="L84" s="559" t="n">
        <f aca="false">O10</f>
        <v>6</v>
      </c>
      <c r="M84" s="559" t="n">
        <f aca="false">O11</f>
        <v>19</v>
      </c>
      <c r="N84" s="558" t="n">
        <f aca="false">P8</f>
        <v>1.84615384615385</v>
      </c>
      <c r="O84" s="558" t="n">
        <f aca="false">P9</f>
        <v>0.661717328234048</v>
      </c>
      <c r="P84" s="559" t="n">
        <f aca="false">P10</f>
        <v>1</v>
      </c>
      <c r="Q84" s="559" t="n">
        <f aca="false">P11</f>
        <v>3</v>
      </c>
      <c r="R84" s="559" t="n">
        <f aca="false">F21</f>
        <v>5.8956</v>
      </c>
      <c r="S84" s="559" t="n">
        <f aca="false">L11</f>
        <v>0</v>
      </c>
      <c r="T84" s="559" t="n">
        <f aca="false">L12</f>
        <v>6</v>
      </c>
      <c r="U84" s="559" t="n">
        <f aca="false">L13</f>
        <v>9</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45</v>
      </c>
      <c r="U87" s="309"/>
      <c r="V87" s="309"/>
    </row>
    <row r="88" customFormat="false" ht="12.75" hidden="true" customHeight="false" outlineLevel="0" collapsed="false">
      <c r="C88" s="563"/>
      <c r="D88" s="563"/>
      <c r="E88" s="563"/>
      <c r="R88" s="309" t="s">
        <v>3446</v>
      </c>
      <c r="S88" s="309"/>
      <c r="T88" s="565" t="n">
        <f aca="false">VLOOKUP($T$91,($A$23:$U$82),21,FALSE())</f>
        <v>90</v>
      </c>
      <c r="U88" s="309"/>
      <c r="V88" s="309" t="n">
        <f aca="false">COUNTIF(V23:V82,T89)</f>
        <v>2</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13.1764705882353</v>
      </c>
      <c r="U90" s="309" t="n">
        <f aca="false">IF(ISERROR(T90),0,1)</f>
        <v>1</v>
      </c>
    </row>
    <row r="91" customFormat="false" ht="12.75" hidden="true" customHeight="false" outlineLevel="0" collapsed="false">
      <c r="C91" s="563"/>
      <c r="D91" s="563"/>
      <c r="E91" s="563"/>
      <c r="R91" s="514" t="s">
        <v>3450</v>
      </c>
      <c r="S91" s="514"/>
      <c r="T91" s="514" t="str">
        <f aca="false">INDEX('liste reference'!$A$6:$A$1174,$U$91)</f>
        <v>CINAQU</v>
      </c>
      <c r="U91" s="309" t="n">
        <f aca="false">IF(ISERROR(MATCH($T$93,'liste reference'!$A$6:$A$1174,0)),MATCH($T$93,'liste reference'!$B$6:$B$1174,0),(MATCH($T$93,'liste reference'!$A$6:$A$1174,0)))</f>
        <v>221</v>
      </c>
      <c r="V91" s="567"/>
    </row>
    <row r="92" customFormat="false" ht="12.75" hidden="true" customHeight="false" outlineLevel="0" collapsed="false">
      <c r="C92" s="563"/>
      <c r="D92" s="563"/>
      <c r="E92" s="563"/>
      <c r="R92" s="309" t="s">
        <v>3451</v>
      </c>
      <c r="S92" s="309"/>
      <c r="T92" s="309" t="n">
        <f aca="false">MATCH(T89,$V$23:$V$82,0)</f>
        <v>10</v>
      </c>
      <c r="U92" s="309"/>
    </row>
    <row r="93" customFormat="false" ht="12.75" hidden="true" customHeight="false" outlineLevel="0" collapsed="false">
      <c r="C93" s="563"/>
      <c r="D93" s="563"/>
      <c r="E93" s="563"/>
      <c r="R93" s="514" t="s">
        <v>3452</v>
      </c>
      <c r="S93" s="309"/>
      <c r="T93" s="514" t="str">
        <f aca="false">INDEX($A$23:$A$82,$T$92)</f>
        <v>CINAQU</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3478</v>
      </c>
      <c r="G23" s="8"/>
      <c r="H23" s="605" t="s">
        <v>3478</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3480</v>
      </c>
      <c r="G26" s="8"/>
      <c r="H26" s="605" t="s">
        <v>3480</v>
      </c>
      <c r="I26" s="606"/>
    </row>
    <row r="27" customFormat="false" ht="15" hidden="false" customHeight="false" outlineLevel="0" collapsed="false">
      <c r="A27" s="594" t="s">
        <v>1327</v>
      </c>
      <c r="B27" s="596" t="s">
        <v>1328</v>
      </c>
      <c r="C27" s="597"/>
      <c r="D27" s="598"/>
      <c r="F27" s="607" t="s">
        <v>3481</v>
      </c>
      <c r="G27" s="608"/>
      <c r="H27" s="607" t="s">
        <v>3481</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3482</v>
      </c>
    </row>
    <row r="31" customFormat="false" ht="15" hidden="false" customHeight="false" outlineLevel="0" collapsed="false">
      <c r="A31" s="594" t="s">
        <v>2321</v>
      </c>
      <c r="B31" s="596" t="s">
        <v>2322</v>
      </c>
      <c r="C31" s="597"/>
      <c r="D31" s="598"/>
      <c r="F31" s="611" t="s">
        <v>3483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2016-06-09T17:24:16Z</dcterms:modified>
  <cp:revision>0</cp:revision>
  <dc:subject/>
  <dc:title>Feuille d'aide au calcul de l'IBMR</dc:title>
</cp:coreProperties>
</file>