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700175" sheetId="6" state="visible" r:id="rId8"/>
    <sheet name="jgjg" sheetId="7" state="hidden" r:id="rId9"/>
    <sheet name="liste codes réf" sheetId="8" state="hidden" r:id="rId10"/>
  </sheets>
  <definedNames>
    <definedName function="false" hidden="false" localSheetId="5" name="_xlnm.Print_Area" vbProcedure="false">'06700175'!$A$1:$Q$82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'06700175'!$A$1:$Q$82</definedName>
    <definedName function="false" hidden="false" localSheetId="5" name="_xlnm__FilterDatabase" vbProcedure="false">'06700175'!$A$1:$C$1415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<sst xmlns="http://schemas.openxmlformats.org/spreadsheetml/2006/main" count="8839" uniqueCount="3496">
  <si>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</si>
  <si>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</si>
  <si>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</si>
  <si>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</si>
  <si>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</si>
  <si>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</si>
  <si>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</si>
  <si>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</si>
  <si>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</si>
  <si>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</si>
  <si>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</si>
  <si>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</si>
  <si>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</si>
  <si>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</si>
  <si>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</si>
  <si>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</si>
  <si>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</si>
  <si>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</si>
  <si>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</si>
  <si>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</si>
  <si>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</si>
  <si>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</si>
  <si>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</si>
  <si>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</si>
  <si>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</si>
  <si>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</si>
  <si>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</si>
  <si>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</si>
  <si>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</si>
  <si>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</si>
  <si>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</si>
  <si>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</si>
  <si>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</si>
  <si>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</si>
  <si>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</si>
  <si>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</si>
  <si>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</si>
  <si>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</si>
  <si>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</si>
  <si>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</si>
  <si>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</si>
  <si>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</si>
  <si>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</si>
  <si>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</si>
  <si>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</si>
  <si>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</si>
  <si>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</si>
  <si>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</si>
  <si>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</si>
  <si>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</si>
  <si>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</si>
  <si>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</si>
  <si>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</si>
  <si>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</si>
  <si>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</si>
  <si>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</si>
  <si>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</si>
  <si>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</si>
  <si>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</si>
  <si>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</si>
  <si>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</si>
  <si>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</si>
  <si>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</si>
  <si>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</si>
  <si>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</si>
  <si>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</si>
  <si>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</si>
  <si>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</si>
  <si>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</si>
  <si>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</si>
  <si>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</si>
  <si>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</si>
  <si>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</si>
  <si>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</si>
  <si>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</si>
  <si>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</si>
  <si>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</si>
  <si>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</si>
  <si>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</si>
  <si>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</si>
  <si>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</si>
  <si>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</si>
  <si>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</si>
  <si>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</si>
  <si>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</si>
  <si>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</si>
  <si>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</si>
  <si>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</si>
  <si>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</si>
  <si>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</si>
  <si>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</si>
  <si>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</si>
  <si>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</si>
  <si>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</si>
  <si>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</si>
  <si>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</si>
  <si>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</si>
  <si>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</si>
  <si>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</si>
  <si>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</si>
  <si>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</si>
  <si>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</si>
  <si>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</si>
  <si>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</si>
  <si>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</si>
  <si>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</si>
  <si>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</si>
  <si>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</si>
  <si>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</si>
  <si>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</si>
  <si>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</si>
  <si>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</si>
  <si>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</si>
  <si>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</si>
  <si>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</si>
  <si>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</si>
  <si>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</si>
  <si>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</si>
  <si>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</si>
  <si>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</si>
  <si>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</si>
  <si>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</si>
  <si>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</si>
  <si>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</si>
  <si>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</si>
  <si>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</si>
  <si>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</si>
  <si>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</si>
  <si>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</si>
  <si>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</si>
  <si>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</si>
  <si>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</si>
  <si>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</si>
  <si>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</si>
  <si>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</si>
  <si>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</si>
  <si>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</si>
  <si>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</si>
  <si>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</si>
  <si>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</si>
  <si>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</si>
  <si>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</si>
  <si>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</si>
  <si>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</si>
  <si>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</si>
  <si>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</si>
  <si>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</si>
  <si>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</si>
  <si>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</si>
  <si>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</si>
  <si>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</si>
  <si>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</si>
  <si>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</si>
  <si>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</si>
  <si>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</si>
  <si>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</si>
  <si>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</si>
  <si>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</si>
  <si>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</si>
  <si>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</si>
  <si>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</si>
  <si>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</si>
  <si>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</si>
  <si>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</si>
  <si>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</si>
  <si>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</si>
  <si>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</si>
  <si>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</si>
  <si>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</si>
  <si>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</si>
  <si>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</si>
  <si>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</si>
  <si>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</si>
  <si>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</si>
  <si>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</si>
  <si>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</si>
  <si>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</si>
  <si>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</si>
  <si>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</si>
  <si>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</si>
  <si>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</si>
  <si>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</si>
  <si>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</si>
  <si>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</si>
  <si>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</si>
  <si>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</si>
  <si>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</si>
  <si>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</si>
  <si>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</si>
  <si>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</si>
  <si>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</si>
  <si>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</si>
  <si>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</si>
  <si>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</si>
  <si>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</si>
  <si>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</si>
  <si>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</si>
  <si>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</si>
  <si>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</si>
  <si>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</si>
  <si>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</si>
  <si>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</si>
  <si>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</si>
  <si>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</si>
  <si>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</si>
  <si>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</si>
  <si>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</si>
  <si>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</si>
  <si>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</si>
  <si>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</si>
  <si>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</si>
  <si>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</si>
  <si>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</si>
  <si>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</si>
  <si>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</si>
  <si>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</si>
  <si>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</si>
  <si>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</si>
  <si>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</si>
  <si>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</si>
  <si>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</si>
  <si>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</si>
  <si>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</si>
  <si>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</si>
  <si>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</si>
  <si>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</si>
  <si>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</si>
  <si>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</si>
  <si>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</si>
  <si>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</si>
  <si>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</si>
  <si>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</si>
  <si>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</si>
  <si>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</si>
  <si>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</si>
  <si>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</si>
  <si>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</si>
  <si>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</si>
  <si>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</si>
  <si>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</si>
  <si>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</si>
  <si>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</si>
  <si>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</si>
  <si>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</si>
  <si>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</si>
  <si>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</si>
  <si>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</si>
  <si>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</si>
  <si>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</si>
  <si>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</si>
  <si>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</si>
  <si>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</si>
  <si>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</si>
  <si>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</si>
  <si>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</si>
  <si>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</si>
  <si>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</si>
  <si>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</si>
  <si>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</si>
  <si>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</si>
  <si>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</si>
  <si>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</si>
  <si>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</si>
  <si>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</si>
  <si>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</si>
  <si>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</si>
  <si>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</si>
  <si>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</si>
  <si>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</si>
  <si>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</si>
  <si>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</si>
  <si>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</si>
  <si>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</si>
  <si>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</si>
  <si>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</si>
  <si>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</si>
  <si>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</si>
  <si>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</si>
  <si>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</si>
  <si>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</si>
  <si>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</si>
  <si>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</si>
  <si>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</si>
  <si>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</si>
  <si>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</si>
  <si>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</si>
  <si>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</si>
  <si>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</si>
  <si>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</si>
  <si>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</si>
  <si>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</si>
  <si>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</si>
  <si>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</si>
  <si>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</si>
  <si>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</si>
  <si>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</si>
  <si>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</si>
  <si>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</si>
  <si>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</si>
  <si>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</si>
  <si>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</si>
  <si>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</si>
  <si>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</si>
  <si>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</si>
  <si>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</si>
  <si>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</si>
  <si>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</si>
  <si>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</si>
  <si>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</si>
  <si>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</si>
  <si>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</si>
  <si>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</si>
  <si>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</si>
  <si>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</si>
  <si>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</si>
  <si>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</si>
  <si>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</si>
  <si>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</si>
  <si>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</si>
  <si>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</si>
  <si>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</si>
  <si>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</si>
  <si>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</si>
  <si>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</si>
  <si>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</si>
  <si>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</si>
  <si>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</si>
  <si>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</si>
  <si>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</si>
  <si>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</si>
  <si>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</si>
  <si>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</si>
  <si>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</si>
  <si>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</si>
  <si>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</si>
  <si>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</si>
  <si>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</si>
  <si>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</si>
  <si>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</si>
  <si>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</si>
  <si>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</si>
  <si>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</si>
  <si>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</si>
  <si>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</si>
  <si>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</si>
  <si>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</si>
  <si>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</si>
  <si>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</si>
  <si>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</si>
  <si>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</si>
  <si>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</si>
  <si>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</si>
  <si>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</si>
  <si>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</si>
  <si>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</si>
  <si>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</si>
  <si>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</si>
  <si>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</si>
  <si>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</si>
  <si>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</si>
  <si>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</si>
  <si>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</si>
  <si>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</si>
  <si>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</si>
  <si>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</si>
  <si>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</si>
  <si>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</si>
  <si>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</si>
  <si>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</si>
  <si>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</si>
  <si>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</si>
  <si>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</si>
  <si>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</si>
  <si>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</si>
  <si>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</si>
  <si>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</si>
  <si>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</si>
  <si>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</si>
  <si>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</si>
  <si>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</si>
  <si>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</si>
  <si>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</si>
  <si>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</si>
  <si>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</si>
  <si>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</si>
  <si>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</si>
  <si>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</si>
  <si>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</si>
  <si>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</si>
  <si>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</si>
  <si>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</si>
  <si>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</si>
  <si>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</si>
  <si>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</si>
  <si>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</si>
  <si>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</si>
  <si>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</si>
  <si>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</si>
  <si>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</si>
  <si>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</si>
  <si>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</si>
  <si>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</si>
  <si>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</si>
  <si>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</si>
  <si>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</si>
  <si>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</si>
  <si>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</si>
  <si>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</si>
  <si>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</si>
  <si>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</si>
  <si>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</si>
  <si>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</si>
  <si>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</si>
  <si>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</si>
  <si>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</si>
  <si>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</si>
  <si>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</si>
  <si>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</si>
  <si>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</si>
  <si>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</si>
  <si>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</si>
  <si>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</si>
  <si>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</si>
  <si>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</si>
  <si>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</si>
  <si>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</si>
  <si>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</si>
  <si>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</si>
  <si>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</si>
  <si>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</si>
  <si>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</si>
  <si>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</si>
  <si>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</si>
  <si>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</si>
  <si>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</si>
  <si>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</si>
  <si>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</si>
  <si>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</si>
  <si>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</si>
  <si>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</si>
  <si>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</si>
  <si>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</si>
  <si>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</si>
  <si>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</si>
  <si>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</si>
  <si>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</si>
  <si>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</si>
  <si>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</si>
  <si>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</si>
  <si>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</si>
  <si>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</si>
  <si>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</si>
  <si>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</si>
  <si>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</si>
  <si>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</si>
  <si>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</si>
  <si>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</si>
  <si>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</si>
  <si>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</si>
  <si>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</si>
  <si>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</si>
  <si>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</si>
  <si>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</si>
  <si>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</si>
  <si>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</si>
  <si>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</si>
  <si>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</si>
  <si>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</si>
  <si>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</si>
  <si>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</si>
  <si>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</si>
  <si>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</si>
  <si>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</si>
  <si>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</si>
  <si>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</si>
  <si>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</si>
  <si>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</si>
  <si>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</si>
  <si>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</si>
  <si>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</si>
  <si>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</si>
  <si>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</si>
  <si>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</si>
  <si>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</si>
  <si>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</si>
  <si>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</si>
  <si>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</si>
  <si>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</si>
  <si>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</si>
  <si>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</si>
  <si>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</si>
  <si>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</si>
  <si>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</si>
  <si>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</si>
  <si>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</si>
  <si>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</si>
  <si>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</si>
  <si>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</si>
  <si>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</si>
  <si>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</si>
  <si>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</si>
  <si>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</si>
  <si>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</si>
  <si>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</si>
  <si>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</si>
  <si>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</si>
  <si>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</si>
  <si>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</si>
  <si>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</si>
  <si>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</si>
  <si>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</si>
  <si>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</si>
  <si>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</si>
  <si>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</si>
  <si>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</si>
  <si>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</si>
  <si>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</si>
  <si>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</si>
  <si>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</si>
  <si>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</si>
  <si>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</si>
  <si>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</si>
  <si>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</si>
  <si>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</si>
  <si>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</si>
  <si>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</si>
  <si>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</si>
  <si>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</si>
  <si>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</si>
  <si>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</si>
  <si>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</si>
  <si>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</si>
  <si>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</si>
  <si>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</si>
  <si>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</si>
  <si>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</si>
  <si>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</si>
  <si>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</si>
  <si>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</si>
  <si>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</si>
  <si>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</si>
  <si>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</si>
  <si>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</si>
  <si>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</si>
  <si>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</si>
  <si>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</si>
  <si>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</si>
  <si>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</si>
  <si>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</si>
  <si>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</si>
  <si>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</si>
  <si>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</si>
  <si>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</si>
  <si>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</si>
  <si>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</si>
  <si>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</si>
  <si>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</si>
  <si>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</si>
  <si>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</si>
  <si>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</si>
  <si>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</si>
  <si>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</si>
  <si>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</si>
  <si>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</si>
  <si>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</si>
  <si>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</si>
  <si>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</si>
  <si>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</si>
  <si>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</si>
  <si>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</si>
  <si>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</si>
  <si>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</si>
  <si>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</si>
  <si>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</si>
  <si>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</si>
  <si>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</si>
  <si>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</si>
  <si>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</si>
  <si>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</si>
  <si>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</si>
  <si>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</si>
  <si>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</si>
  <si>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</si>
  <si>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</si>
  <si>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</si>
  <si>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</si>
  <si>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</si>
  <si>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</si>
  <si>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</si>
  <si>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</si>
  <si>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</si>
  <si>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</si>
  <si>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</si>
  <si>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</si>
  <si>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</si>
  <si>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</si>
  <si>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</si>
  <si>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</si>
  <si>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</si>
  <si>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</si>
  <si>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</si>
  <si>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</si>
  <si>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</si>
  <si>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</si>
  <si>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</si>
  <si>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</si>
  <si>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</si>
  <si>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</si>
  <si>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</si>
  <si>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</si>
  <si>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</si>
  <si>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</si>
  <si>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</si>
  <si>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</si>
  <si>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</si>
  <si>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</si>
  <si>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</si>
  <si>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</si>
  <si>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</si>
  <si>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</si>
  <si>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</si>
  <si>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</si>
  <si>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</si>
  <si>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</si>
  <si>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</si>
  <si>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</si>
  <si>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</si>
  <si>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</si>
  <si>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</si>
  <si>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</si>
  <si>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</si>
  <si>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</si>
  <si>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</si>
  <si>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</si>
  <si>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</si>
  <si>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</si>
  <si>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</si>
  <si>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</si>
  <si>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</si>
  <si>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</si>
  <si>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</si>
  <si>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</si>
  <si>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</si>
  <si>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</si>
  <si>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</si>
  <si>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</si>
  <si>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</si>
  <si>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</si>
  <si>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</si>
  <si>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</si>
  <si>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</si>
  <si>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</si>
  <si>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</si>
  <si>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</si>
  <si>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</si>
  <si>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</si>
  <si>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</si>
  <si>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</si>
  <si>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</si>
  <si>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</si>
  <si>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</si>
  <si>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</si>
  <si>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</si>
  <si>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</si>
  <si>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</si>
  <si>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</si>
  <si>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</si>
  <si>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</si>
  <si>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</si>
  <si>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</si>
  <si>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</si>
  <si>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</si>
  <si>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</si>
  <si>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</si>
  <si>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</si>
  <si>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</si>
  <si>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</si>
  <si>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</si>
  <si>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</si>
  <si>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</si>
  <si>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</si>
  <si>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</si>
  <si>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</si>
  <si>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</si>
  <si>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</si>
  <si>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</si>
  <si>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</si>
  <si>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</si>
  <si>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</si>
  <si>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</si>
  <si>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</si>
  <si>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</si>
  <si>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</si>
  <si>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</si>
  <si>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</si>
  <si>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</si>
  <si>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</si>
  <si>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</si>
  <si>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</si>
  <si>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</si>
  <si>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</si>
  <si>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</si>
  <si>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</si>
  <si>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</si>
  <si>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</si>
  <si>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</si>
  <si>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</si>
  <si>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</si>
  <si>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</si>
  <si>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</si>
  <si>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</si>
  <si>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</si>
  <si>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</si>
  <si>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</si>
  <si>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</si>
  <si>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</si>
  <si>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</si>
  <si>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</si>
  <si>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</si>
  <si>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</si>
  <si>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</si>
  <si>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</si>
  <si>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</si>
  <si>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</si>
  <si>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</si>
  <si>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</si>
  <si>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</si>
  <si>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</si>
  <si>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</si>
  <si>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</si>
  <si>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</si>
  <si>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</si>
  <si>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</si>
  <si>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</si>
  <si>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</si>
  <si>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</si>
  <si>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</si>
  <si>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</si>
  <si>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</si>
  <si>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</si>
  <si>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</si>
  <si>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</si>
  <si>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</si>
  <si>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</si>
  <si>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</si>
  <si>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</si>
  <si>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</si>
  <si>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</si>
  <si>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</si>
  <si>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</si>
  <si>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</si>
  <si>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</si>
  <si>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</si>
  <si>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</si>
  <si>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</si>
  <si>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</si>
  <si>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</si>
  <si>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</si>
  <si>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</si>
  <si>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</si>
  <si>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</si>
  <si>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</si>
  <si>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</si>
  <si>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</si>
  <si>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</si>
  <si>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</si>
  <si>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</si>
  <si>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</si>
  <si>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</si>
  <si>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</si>
  <si>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</si>
  <si>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</si>
  <si>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</si>
  <si>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</si>
  <si>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</si>
  <si>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</si>
  <si>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</si>
  <si>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</si>
  <si>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</si>
  <si>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</si>
  <si>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</si>
  <si>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</si>
  <si>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</si>
  <si>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</si>
  <si>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</si>
  <si>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</si>
  <si>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</si>
  <si>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</si>
  <si>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</si>
  <si>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</si>
  <si>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</si>
  <si>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</si>
  <si>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</si>
  <si>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</si>
  <si>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</si>
  <si>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</si>
  <si>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</si>
  <si>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</si>
  <si>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</si>
  <si>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</si>
  <si>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</si>
  <si>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</si>
  <si>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</si>
  <si>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</si>
  <si>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</si>
  <si>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</si>
  <si>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</si>
  <si>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</si>
  <si>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</si>
  <si>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</si>
  <si>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</si>
  <si>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</si>
  <si>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</si>
  <si>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</si>
  <si>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</si>
  <si>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</si>
  <si>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</si>
  <si>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</si>
  <si>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</si>
  <si>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</si>
  <si>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</si>
  <si>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</si>
  <si>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</si>
  <si>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</si>
  <si>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</si>
  <si>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</si>
  <si>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</si>
  <si>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</si>
  <si>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</si>
  <si>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</si>
  <si>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</si>
  <si>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</si>
  <si>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</si>
  <si>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</si>
  <si>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</si>
  <si>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</si>
  <si>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</si>
  <si>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</si>
  <si>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</si>
  <si>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</si>
  <si>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</si>
  <si>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</si>
  <si>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</si>
  <si>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</si>
  <si>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</si>
  <si>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</si>
  <si>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</si>
  <si>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</si>
  <si>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</si>
  <si>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</si>
  <si>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</si>
  <si>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</si>
  <si>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</si>
  <si>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</si>
  <si>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</si>
  <si>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</si>
  <si>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</si>
  <si>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</si>
  <si>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</si>
  <si>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</si>
  <si>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</si>
  <si>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</si>
  <si>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</si>
  <si>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</si>
  <si>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</si>
  <si>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</si>
  <si>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</si>
  <si>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</si>
  <si>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</si>
  <si>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</si>
  <si>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</si>
  <si>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</si>
  <si>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</si>
  <si>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</si>
  <si>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</si>
  <si>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</si>
  <si>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</si>
  <si>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</si>
  <si>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</si>
  <si>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</si>
  <si>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</si>
  <si>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</si>
  <si>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</si>
  <si>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</si>
  <si>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</si>
  <si>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</si>
  <si>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</si>
  <si>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</si>
  <si>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</si>
  <si>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</si>
  <si>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</si>
  <si>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</si>
  <si>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</si>
  <si>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</si>
  <si>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</si>
  <si>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</si>
  <si>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</si>
  <si>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</si>
  <si>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</si>
  <si>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</si>
  <si>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</si>
  <si>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</si>
  <si>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</si>
  <si>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</si>
  <si>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</si>
  <si>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</si>
  <si>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</si>
  <si>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</si>
  <si>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</si>
  <si>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</si>
  <si>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</si>
  <si>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</si>
  <si>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</si>
  <si>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</si>
  <si>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</si>
  <si>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</si>
  <si>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</si>
  <si>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</si>
  <si>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</si>
  <si>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</si>
  <si>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</si>
  <si>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</si>
  <si>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</si>
  <si>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</si>
  <si>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</si>
  <si>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</si>
  <si>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</si>
  <si>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</si>
  <si>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</si>
  <si>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</si>
  <si>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</si>
  <si>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</si>
  <si>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</si>
  <si>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</si>
  <si>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</si>
  <si>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</si>
  <si>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</si>
  <si>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</si>
  <si>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</si>
  <si>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</si>
  <si>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</si>
  <si>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</si>
  <si>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</si>
  <si>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</si>
  <si>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</si>
  <si>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</si>
  <si>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</si>
  <si>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</si>
  <si>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</si>
  <si>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</si>
  <si>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</si>
  <si>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</si>
  <si>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</si>
  <si>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</si>
  <si>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</si>
  <si>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</si>
  <si>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</si>
  <si>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</si>
  <si>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</si>
  <si>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</si>
  <si>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</si>
  <si>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</si>
  <si>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</si>
  <si>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</si>
  <si>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</si>
  <si>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</si>
  <si>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</si>
  <si>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</si>
  <si>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</si>
  <si>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</si>
  <si>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</si>
  <si>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</si>
  <si>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</si>
  <si>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</si>
  <si>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</si>
  <si>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</si>
  <si>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</si>
  <si>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</si>
  <si>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</si>
  <si>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</si>
  <si>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</si>
  <si>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</si>
  <si>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</si>
  <si>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</si>
  <si>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</si>
  <si>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</si>
  <si>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</si>
  <si>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</si>
  <si>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</si>
  <si>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</si>
  <si>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</si>
  <si>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</si>
  <si>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</si>
  <si>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</si>
  <si>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</si>
  <si>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</si>
  <si>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</si>
  <si>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</si>
  <si>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</si>
  <si>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</si>
  <si>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</si>
  <si>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</si>
  <si>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</si>
  <si>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</si>
  <si>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</si>
  <si>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</si>
  <si>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</si>
  <si>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</si>
  <si>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</si>
  <si>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</si>
  <si>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</si>
  <si>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</si>
  <si>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</si>
  <si>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</si>
  <si>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</si>
  <si>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</si>
  <si>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</si>
  <si>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</si>
  <si>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</si>
  <si>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</si>
  <si>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</si>
  <si>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</si>
  <si>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</si>
  <si>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</si>
  <si>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</si>
  <si>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</si>
  <si>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</si>
  <si>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</si>
  <si>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</si>
  <si>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</si>
  <si>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</si>
  <si>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</si>
  <si>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</si>
  <si>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</si>
  <si>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</si>
  <si>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</si>
  <si>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</si>
  <si>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</si>
  <si>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</si>
  <si>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</si>
  <si>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</si>
  <si>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</si>
  <si>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</si>
  <si>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</si>
  <si>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</si>
  <si>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</si>
  <si>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</si>
  <si>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</si>
  <si>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</si>
  <si>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</si>
  <si>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</si>
  <si>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</si>
  <si>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</si>
  <si>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</si>
  <si>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</si>
  <si>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</si>
  <si>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</si>
  <si>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</si>
  <si>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</si>
  <si>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</si>
  <si>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</si>
  <si>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</si>
  <si>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</si>
  <si>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</si>
  <si>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</si>
  <si>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</si>
  <si>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</si>
  <si>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</si>
  <si>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</si>
  <si>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</si>
  <si>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</si>
  <si>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</si>
  <si>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</si>
  <si>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</si>
  <si>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</si>
  <si>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</si>
  <si>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</si>
  <si>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</si>
  <si>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</si>
  <si>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</si>
  <si>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</si>
  <si>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</si>
  <si>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</si>
  <si>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</si>
  <si>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</si>
  <si>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</si>
  <si>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</si>
  <si>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</si>
  <si>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</si>
  <si>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</si>
  <si>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</si>
  <si>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</si>
  <si>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</si>
  <si>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</si>
  <si>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</si>
  <si>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</si>
  <si>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</si>
  <si>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</si>
  <si>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</si>
  <si>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</si>
  <si>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</si>
  <si>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</si>
  <si>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</si>
  <si>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</si>
  <si>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</si>
  <si>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</si>
  <si>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</si>
  <si>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</si>
  <si>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</si>
  <si>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</si>
  <si>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</si>
  <si>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</si>
  <si>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</si>
  <si>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</si>
  <si>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</si>
  <si>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</si>
  <si>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</si>
  <si>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</si>
  <si>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</si>
  <si>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</si>
  <si>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</si>
  <si>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</si>
  <si>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</si>
  <si>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</si>
  <si>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</si>
  <si>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</si>
  <si>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</si>
  <si>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</si>
  <si>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</si>
  <si>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</si>
  <si>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</si>
  <si>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</si>
  <si>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</si>
  <si>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</si>
  <si>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</si>
  <si>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</si>
  <si>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</si>
  <si>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</si>
  <si>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</si>
  <si>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</si>
  <si>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</si>
  <si>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</si>
  <si>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</si>
  <si>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</si>
  <si>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</si>
  <si>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</si>
  <si>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</si>
  <si>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</si>
  <si>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</si>
  <si>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</si>
  <si>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</si>
  <si>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</si>
  <si>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</si>
  <si>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</si>
  <si>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</si>
  <si>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</si>
  <si>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</si>
  <si>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</si>
  <si>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</si>
  <si>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</si>
  <si>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</si>
  <si>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</si>
  <si>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</si>
  <si>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</si>
  <si>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</si>
  <si>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</si>
  <si>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</si>
  <si>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</si>
  <si>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</si>
  <si>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</si>
  <si>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</si>
  <si>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</si>
  <si>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</si>
  <si>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</si>
  <si>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</si>
  <si>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</si>
  <si>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</si>
  <si>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</si>
  <si>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</si>
  <si>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</si>
  <si>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</si>
  <si>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</si>
  <si>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</si>
  <si>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</si>
  <si>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</si>
  <si>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</si>
  <si>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</si>
  <si>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</si>
  <si>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</si>
  <si>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</si>
  <si>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</si>
  <si>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</si>
  <si>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</si>
  <si>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</si>
  <si>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</si>
  <si>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</si>
  <si>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</si>
  <si>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</si>
  <si>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</si>
  <si>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</si>
  <si>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</si>
  <si>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</si>
  <si>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</si>
  <si>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</si>
  <si>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</si>
  <si>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</si>
  <si>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</si>
  <si>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</si>
  <si>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</si>
  <si>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</si>
  <si>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</si>
  <si>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</si>
  <si>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</si>
  <si>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</si>
  <si>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</si>
  <si>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</si>
  <si>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</si>
  <si>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</si>
  <si>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</si>
  <si>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</si>
  <si>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</si>
  <si>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</si>
  <si>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</si>
  <si>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</si>
  <si>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</si>
  <si>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</si>
  <si>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</si>
  <si>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</si>
  <si>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</si>
  <si>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</si>
  <si>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</si>
  <si>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</si>
  <si>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</si>
  <si>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</si>
  <si>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</si>
  <si>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</si>
  <si>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</si>
  <si>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</si>
  <si>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</si>
  <si>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</si>
  <si>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</si>
  <si>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</si>
  <si>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</si>
  <si>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</si>
  <si>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</si>
  <si>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</si>
  <si>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</si>
  <si>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</si>
  <si>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</si>
  <si>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</si>
  <si>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</si>
  <si>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</si>
  <si>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</si>
  <si>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</si>
  <si>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</si>
  <si>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</si>
  <si>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</si>
  <si>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</si>
  <si>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</si>
  <si>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</si>
  <si>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</si>
  <si>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</si>
  <si>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</si>
  <si>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</si>
  <si>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</si>
  <si>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</si>
  <si>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</si>
  <si>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</si>
  <si>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</si>
  <si>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</si>
  <si>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</si>
  <si>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</si>
  <si>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</si>
  <si>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</si>
  <si>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</si>
  <si>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</si>
  <si>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</si>
  <si>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</si>
  <si>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</si>
  <si>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</si>
  <si>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</si>
  <si>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</si>
  <si>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</si>
  <si>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</si>
  <si>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</si>
  <si>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</si>
  <si>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</si>
  <si>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</si>
  <si>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</si>
  <si>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</si>
  <si>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</si>
  <si>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</si>
  <si>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</si>
  <si>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</si>
  <si>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</si>
  <si>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</si>
  <si>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</si>
  <si>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</si>
  <si>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</si>
  <si>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</si>
  <si>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</si>
  <si>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</si>
  <si>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</si>
  <si>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</si>
  <si>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</si>
  <si>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</si>
  <si>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</si>
  <si>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</si>
  <si>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</si>
  <si>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</si>
  <si>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</si>
  <si>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</si>
  <si>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</si>
  <si>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</si>
  <si>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</si>
  <si>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</si>
  <si>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</si>
  <si>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</si>
  <si>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</si>
  <si>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</si>
  <si>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</si>
  <si>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</si>
  <si>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</si>
  <si>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</si>
  <si>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</si>
  <si>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</si>
  <si>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</si>
  <si>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</si>
  <si>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</si>
  <si>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</si>
  <si>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</si>
  <si>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</si>
  <si>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</si>
  <si>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</si>
  <si>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</si>
  <si>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</si>
  <si>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</si>
  <si>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</si>
  <si>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</si>
  <si>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</si>
  <si>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</si>
  <si>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</si>
  <si>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</si>
  <si>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</si>
  <si>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</si>
  <si>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</si>
  <si>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</si>
  <si>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</si>
  <si>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</si>
  <si>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</si>
  <si>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</si>
  <si>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</si>
  <si>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</si>
  <si>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</si>
  <si>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</si>
  <si>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</si>
  <si>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</si>
  <si>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</si>
  <si>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</si>
  <si>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</si>
  <si>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</si>
  <si>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</si>
  <si>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</si>
  <si>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</si>
  <si>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</si>
  <si>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</si>
  <si>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</si>
  <si>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</si>
  <si>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</si>
  <si>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</si>
  <si>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</si>
  <si>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</si>
  <si>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</si>
  <si>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</si>
  <si>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</si>
  <si>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</si>
  <si>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</si>
  <si>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</si>
  <si>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</si>
  <si>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</si>
  <si>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</si>
  <si>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</si>
  <si>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</si>
  <si>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</si>
  <si>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</si>
  <si>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</si>
  <si>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</si>
  <si>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</si>
  <si>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</si>
  <si>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</si>
  <si>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</si>
  <si>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</si>
  <si>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</si>
  <si>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</si>
  <si>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</si>
  <si>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</si>
  <si>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</si>
  <si>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</si>
  <si>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</si>
  <si>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</si>
  <si>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</si>
  <si>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</si>
  <si>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</si>
  <si>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</si>
  <si>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</si>
  <si>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</si>
  <si>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</si>
  <si>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</si>
  <si>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</si>
  <si>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</si>
  <si>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</si>
  <si>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</si>
  <si>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</si>
  <si>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</si>
  <si>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</si>
  <si>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</si>
  <si>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</si>
  <si>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</si>
  <si>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</si>
  <si>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</si>
  <si>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</si>
  <si>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</si>
  <si>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</si>
  <si>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</si>
  <si>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</si>
  <si>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</si>
  <si>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</si>
  <si>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</si>
  <si>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</si>
  <si>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</si>
  <si>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</si>
  <si>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</si>
  <si>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</si>
  <si>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</si>
  <si>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</si>
  <si>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</si>
  <si>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</si>
  <si>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</si>
  <si>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</si>
  <si>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</si>
  <si>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</si>
  <si>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</si>
  <si>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</si>
  <si>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</si>
  <si>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</si>
  <si>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</si>
  <si>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</si>
  <si>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</si>
  <si>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</si>
  <si>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</si>
  <si>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</si>
  <si>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</si>
  <si>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</si>
  <si>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</si>
  <si>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</si>
  <si>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</si>
  <si>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</si>
  <si>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</si>
  <si>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</si>
  <si>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</si>
  <si>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</si>
  <si>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</si>
  <si>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</si>
  <si>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</si>
  <si>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</si>
  <si>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</si>
  <si>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</si>
  <si>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</si>
  <si>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</si>
  <si>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</si>
  <si>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</si>
  <si>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</si>
  <si>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</si>
  <si>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</si>
  <si>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</si>
  <si>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</si>
  <si>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</si>
  <si>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</si>
  <si>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</si>
  <si>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</si>
  <si>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</si>
  <si>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</si>
  <si>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</si>
  <si>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</si>
  <si>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</si>
  <si>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</si>
  <si>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</si>
  <si>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</si>
  <si>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</si>
  <si>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</si>
  <si>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</si>
  <si>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</si>
  <si>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</si>
  <si>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</si>
  <si>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</si>
  <si>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</si>
  <si>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</si>
  <si>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</si>
  <si>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</si>
  <si>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</si>
  <si>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</si>
  <si>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</si>
  <si>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</si>
  <si>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</si>
  <si>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</si>
  <si>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</si>
  <si>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</si>
  <si>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</si>
  <si>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</si>
  <si>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</si>
  <si>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</si>
  <si>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</si>
  <si>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</si>
  <si>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</si>
  <si>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</si>
  <si>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</si>
  <si>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</si>
  <si>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</si>
  <si>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</si>
  <si>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</si>
  <si>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</si>
  <si>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</si>
  <si>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</si>
  <si>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</si>
  <si>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</si>
  <si>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</si>
  <si>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</si>
  <si>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</si>
  <si>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</si>
  <si>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</si>
  <si>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</si>
  <si>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</si>
  <si>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</si>
  <si>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</si>
  <si>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</si>
  <si>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</si>
  <si>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</si>
  <si>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</si>
  <si>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</si>
  <si>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</si>
  <si>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</si>
  <si>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</si>
  <si>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</si>
  <si>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</si>
  <si>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</si>
  <si>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</si>
  <si>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</si>
  <si>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</si>
  <si>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</si>
  <si>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</si>
  <si>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</si>
  <si>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</si>
  <si>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</si>
  <si>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</si>
  <si>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</si>
  <si>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</si>
  <si>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</si>
  <si>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</si>
  <si>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</si>
  <si>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</si>
  <si>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</si>
  <si>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</si>
  <si>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</si>
  <si>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</si>
  <si>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</si>
  <si>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</si>
  <si>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</si>
  <si>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</si>
  <si>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</si>
  <si>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</si>
  <si>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</si>
  <si>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</si>
  <si>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</si>
  <si>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</si>
  <si>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</si>
  <si>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</si>
  <si>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</si>
  <si>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</si>
  <si>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</si>
  <si>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</si>
  <si>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</si>
  <si>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</si>
  <si>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</si>
  <si>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</si>
  <si>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</si>
  <si>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</si>
  <si>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</si>
  <si>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</si>
  <si>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</si>
  <si>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</si>
  <si>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</si>
  <si>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</si>
  <si>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</si>
  <si>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</si>
  <si>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</si>
  <si>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</si>
  <si>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</si>
  <si>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</si>
  <si>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</si>
  <si>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</si>
  <si>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</si>
  <si>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</si>
  <si>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</si>
  <si>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</si>
  <si>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</si>
  <si>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</si>
  <si>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</si>
  <si>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</si>
  <si>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</si>
  <si>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</si>
  <si>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</si>
  <si>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</si>
  <si>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</si>
  <si>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</si>
  <si>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</si>
  <si>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</si>
  <si>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</si>
  <si>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</si>
  <si>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</si>
  <si>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</si>
  <si>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</si>
  <si>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</si>
  <si>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</si>
  <si>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</si>
  <si>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</si>
  <si>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</si>
  <si>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</si>
  <si>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</si>
  <si>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</si>
  <si>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</si>
  <si>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</si>
  <si>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</si>
  <si>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</si>
  <si>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</si>
  <si>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</si>
  <si>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</si>
  <si>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</si>
  <si>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</si>
  <si>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</si>
  <si>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</si>
  <si>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</si>
  <si>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</si>
  <si>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</si>
  <si>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</si>
  <si>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</si>
  <si>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</si>
  <si>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</si>
  <si>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</si>
  <si>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</si>
  <si>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</si>
  <si>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</si>
  <si>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</si>
  <si>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</si>
  <si>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</si>
  <si>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</si>
  <si>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</si>
  <si>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</si>
  <si>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</si>
  <si>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</si>
  <si>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</si>
  <si>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</si>
  <si>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</si>
  <si>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</si>
  <si>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</si>
  <si>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</si>
  <si>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</si>
  <si>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</si>
  <si>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</si>
  <si>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</si>
  <si>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</si>
  <si>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</si>
  <si>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</si>
  <si>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</si>
  <si>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</si>
  <si>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</si>
  <si>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</si>
  <si>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</si>
  <si>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</si>
  <si>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</si>
  <si>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</si>
  <si>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</si>
  <si>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</si>
  <si>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</si>
  <si>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</si>
  <si>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</si>
  <si>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</si>
  <si>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</si>
  <si>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</si>
  <si>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</si>
  <si>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</si>
  <si>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</si>
  <si>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</si>
  <si>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</si>
  <si>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</si>
  <si>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</si>
  <si>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</si>
  <si>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</si>
  <si>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</si>
  <si>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</si>
  <si>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</si>
  <si>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</si>
  <si>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</si>
  <si>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</si>
  <si>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</si>
  <si>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</si>
  <si>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</si>
  <si>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</si>
  <si>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</si>
  <si>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</si>
  <si>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</si>
  <si>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</si>
  <si>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</si>
  <si>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</si>
  <si>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</si>
  <si>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</si>
  <si>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</si>
  <si>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</si>
  <si>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</si>
  <si>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</si>
  <si>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</si>
  <si>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</si>
  <si>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</si>
  <si>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</si>
  <si>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</si>
  <si>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</si>
  <si>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</si>
  <si>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</si>
  <si>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</si>
  <si>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</si>
  <si>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</si>
  <si>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</si>
  <si>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</si>
  <si>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</si>
  <si>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</si>
  <si>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</si>
  <si>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</si>
  <si>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</si>
  <si>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</si>
  <si>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</si>
  <si>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</si>
  <si>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</si>
  <si>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</si>
  <si>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</si>
  <si>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</si>
  <si>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</si>
  <si>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</si>
  <si>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</si>
  <si>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</si>
  <si>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</si>
  <si>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</si>
  <si>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</si>
  <si>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</si>
  <si>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</si>
  <si>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</si>
  <si>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</si>
  <si>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</si>
  <si>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</si>
  <si>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</si>
  <si>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</si>
  <si>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</si>
  <si>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</si>
  <si>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</si>
  <si>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</si>
  <si>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</si>
  <si>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</si>
  <si>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</si>
  <si>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</si>
  <si>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</si>
  <si>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</si>
  <si>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</si>
  <si>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</si>
  <si>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</si>
  <si>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</si>
  <si>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</si>
  <si>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</si>
  <si>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</si>
  <si>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</si>
  <si>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</si>
  <si>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</si>
  <si>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</si>
  <si>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</si>
  <si>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</si>
  <si>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</si>
  <si>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</si>
  <si>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</si>
  <si>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</si>
  <si>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</si>
  <si>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</si>
  <si>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</si>
  <si>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</si>
  <si>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</si>
  <si>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</si>
  <si>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</si>
  <si>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</si>
  <si>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</si>
  <si>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</si>
  <si>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</si>
  <si>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</si>
  <si>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</si>
  <si>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</si>
  <si>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</si>
  <si>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</si>
  <si>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</si>
  <si>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</si>
  <si>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</si>
  <si>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</si>
  <si>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</si>
  <si>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</si>
  <si>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</si>
  <si>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</si>
  <si>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</si>
  <si>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</si>
  <si>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</si>
  <si>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</si>
  <si>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</si>
  <si>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</si>
  <si>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</si>
  <si>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</si>
  <si>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</si>
  <si>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</si>
  <si>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</si>
  <si>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</si>
  <si>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</si>
  <si>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</si>
  <si>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</si>
  <si>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</si>
  <si>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</si>
  <si>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</si>
  <si>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</si>
  <si>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</si>
  <si>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</si>
  <si>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</si>
  <si>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</si>
  <si>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</si>
  <si>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</si>
  <si>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</si>
  <si>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</si>
  <si>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</si>
  <si>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</si>
  <si>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</si>
  <si>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</si>
  <si>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</si>
  <si>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</si>
  <si>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</si>
  <si>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</si>
  <si>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</si>
  <si>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</si>
  <si>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</si>
  <si>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</si>
  <si>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</si>
  <si>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</si>
  <si>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</si>
  <si>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</si>
  <si>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</si>
  <si>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</si>
  <si>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</si>
  <si>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</si>
  <si>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</si>
  <si>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</si>
  <si>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</si>
  <si>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</si>
  <si>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</si>
  <si>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</si>
  <si>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</si>
  <si>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</si>
  <si>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</si>
  <si>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</si>
  <si>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</si>
  <si>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</si>
  <si>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</si>
  <si>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</si>
  <si>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</si>
  <si>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</si>
  <si>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</si>
  <si>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</si>
  <si>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</si>
  <si>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</si>
  <si>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</si>
  <si>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</si>
  <si>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</si>
  <si>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</si>
  <si>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</si>
  <si>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</si>
  <si>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</si>
  <si>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</si>
  <si>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</si>
  <si>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</si>
  <si>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</si>
  <si>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</si>
  <si>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</si>
  <si>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</si>
  <si>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</si>
  <si>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</si>
  <si>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</si>
  <si>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</si>
  <si>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</si>
  <si>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</si>
  <si>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</si>
  <si>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</si>
  <si>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</si>
  <si>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</si>
  <si>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</si>
  <si>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</si>
  <si>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</si>
  <si>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</si>
  <si>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</si>
  <si>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</si>
  <si>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</si>
  <si>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</si>
  <si>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</si>
  <si>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</si>
  <si>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</si>
  <si>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</si>
  <si>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</si>
  <si>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</si>
  <si>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</si>
  <si>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</si>
  <si>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</si>
  <si>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</si>
  <si>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</si>
  <si>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</si>
  <si>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</si>
  <si>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</si>
  <si>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</si>
  <si>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</si>
  <si>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</si>
  <si>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</si>
  <si>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</si>
  <si>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</si>
  <si>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</si>
  <si>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</si>
  <si>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</si>
  <si>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</si>
  <si>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</si>
  <si>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</si>
  <si>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</si>
  <si>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</si>
  <si>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</si>
  <si>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</si>
  <si>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</si>
  <si>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</si>
  <si>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</si>
  <si>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</si>
  <si>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</si>
  <si>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</si>
  <si>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</si>
  <si>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</si>
  <si>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</si>
  <si>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</si>
  <si>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</si>
  <si>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</si>
  <si>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</si>
  <si>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</si>
  <si>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</si>
  <si>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</si>
  <si>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</si>
  <si>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</si>
  <si>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</si>
  <si>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</si>
  <si>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</si>
  <si>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</si>
  <si>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</si>
  <si>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</si>
  <si>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</si>
  <si>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</si>
  <si>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</si>
  <si>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</si>
  <si>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</si>
  <si>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</si>
  <si>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</si>
  <si>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</si>
  <si>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</si>
  <si>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</si>
  <si>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</si>
  <si>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</si>
  <si>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</si>
  <si>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</si>
  <si>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</si>
  <si>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</si>
  <si>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</si>
  <si>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</si>
  <si>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</si>
  <si>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</si>
  <si>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</si>
  <si>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</si>
  <si>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</si>
  <si>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</si>
  <si>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</si>
  <si>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</si>
  <si>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</si>
  <si>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</si>
  <si>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</si>
  <si>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</si>
  <si>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</si>
  <si>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</si>
  <si>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</si>
  <si>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</si>
  <si>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</si>
  <si>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</si>
  <si>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</si>
  <si>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</si>
  <si>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</si>
  <si>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</si>
  <si>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</si>
  <si>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</si>
  <si>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</si>
  <si>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</si>
  <si>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</si>
  <si>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</si>
  <si>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</si>
  <si>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</si>
  <si>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</si>
  <si>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</si>
  <si>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</si>
  <si>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</si>
  <si>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</si>
  <si>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</si>
  <si>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</si>
  <si>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</si>
  <si>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</si>
  <si>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</si>
  <si>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</si>
  <si>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</si>
  <si>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</si>
  <si>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</si>
  <si>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</si>
  <si>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</si>
  <si>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</si>
  <si>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</si>
  <si>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</si>
  <si>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</si>
  <si>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</si>
  <si>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</si>
  <si>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</si>
  <si>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</si>
  <si>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</si>
  <si>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</si>
  <si>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</si>
  <si>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</si>
  <si>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</si>
  <si>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</si>
  <si>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</si>
  <si>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</si>
  <si>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</si>
  <si>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</si>
  <si>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</si>
  <si>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</si>
  <si>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</si>
  <si>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</si>
  <si>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</si>
  <si>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</si>
  <si>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</si>
  <si>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</si>
  <si>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</si>
  <si>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</si>
  <si>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</si>
  <si>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</si>
  <si>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</si>
  <si>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</si>
  <si>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</si>
  <si>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</si>
  <si>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</si>
  <si>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</si>
  <si>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</si>
  <si>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</si>
  <si>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</si>
  <si>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</si>
  <si>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</si>
  <si>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</si>
  <si>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</si>
  <si>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</si>
  <si>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</si>
  <si>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</si>
  <si>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</si>
  <si>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</si>
  <si>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</si>
  <si>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</si>
  <si>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</si>
  <si>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</si>
  <si>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</si>
  <si>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</si>
  <si>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</si>
  <si>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</si>
  <si>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</si>
  <si>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</si>
  <si>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</si>
  <si>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</si>
  <si>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</si>
  <si>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</si>
  <si>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</si>
  <si>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</si>
  <si>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</si>
  <si>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</si>
  <si>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</si>
  <si>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</si>
  <si>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</si>
  <si>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</si>
  <si>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</si>
  <si>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</si>
  <si>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</si>
  <si>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</si>
  <si>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</si>
  <si>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</si>
  <si>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</si>
  <si>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</si>
  <si>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</si>
  <si>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</si>
  <si>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</si>
  <si>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</si>
  <si>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</si>
  <si>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</si>
  <si>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</si>
  <si>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</si>
  <si>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</si>
  <si>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</si>
  <si>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</si>
  <si>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</si>
  <si>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</si>
  <si>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</si>
  <si>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</si>
  <si>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</si>
  <si>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</si>
  <si>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</si>
  <si>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</si>
  <si>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</si>
  <si>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</si>
  <si>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</si>
  <si>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</si>
  <si>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</si>
  <si>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</si>
  <si>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</si>
  <si>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</si>
  <si>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</si>
  <si>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</si>
  <si>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</si>
  <si>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</si>
  <si>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</si>
  <si>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</si>
  <si>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</si>
  <si>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</si>
  <si>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</si>
  <si>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</si>
  <si>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</si>
  <si>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</si>
  <si>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</si>
  <si>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</si>
  <si>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</si>
  <si>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</si>
  <si>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</si>
  <si>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</si>
  <si>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</si>
  <si>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</si>
  <si>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</si>
  <si>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</si>
  <si>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</si>
  <si>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</si>
  <si>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</si>
  <si>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</si>
  <si>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</si>
  <si>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</si>
  <si>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</si>
  <si>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</si>
  <si>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</si>
  <si>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</si>
  <si>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</si>
  <si>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</si>
  <si>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</si>
  <si>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</si>
  <si>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</si>
  <si>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</si>
  <si>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</si>
  <si>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</si>
  <si>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</si>
  <si>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</si>
  <si>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</si>
  <si>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</si>
  <si>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</si>
  <si>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</si>
  <si>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</si>
  <si>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</si>
  <si>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</si>
  <si>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</si>
  <si>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</si>
  <si>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</si>
  <si>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</si>
  <si>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</si>
  <si>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</si>
  <si>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</si>
  <si>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</si>
  <si>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</si>
  <si>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</si>
  <si>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</si>
  <si>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</si>
  <si>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</si>
  <si>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</si>
  <si>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</si>
  <si>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</si>
  <si>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</si>
  <si>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</si>
  <si>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</si>
  <si>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</si>
  <si>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</si>
  <si>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</si>
  <si>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</si>
  <si>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</si>
  <si>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</si>
  <si>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</si>
  <si>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</si>
  <si>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</si>
  <si>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</si>
  <si>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</si>
  <si>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</si>
  <si>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</si>
  <si>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</si>
  <si>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</si>
  <si>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</si>
  <si>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</si>
  <si>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</si>
  <si>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</si>
  <si>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</si>
  <si>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</si>
  <si>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</si>
  <si>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</si>
  <si>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</si>
  <si>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</si>
  <si>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</si>
  <si>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</si>
  <si>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</si>
  <si>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</si>
  <si>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</si>
  <si>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</si>
  <si>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</si>
  <si>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</si>
  <si>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</si>
  <si>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</si>
  <si>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</si>
  <si>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</si>
  <si>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</si>
  <si>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</si>
  <si>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</si>
  <si>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</si>
  <si>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</si>
  <si>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</si>
  <si>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</si>
  <si>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</si>
  <si>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</si>
  <si>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</si>
  <si>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</si>
  <si>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</si>
  <si>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</si>
  <si>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</si>
  <si>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</si>
  <si>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</si>
  <si>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</si>
  <si>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</si>
  <si>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</si>
  <si>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</si>
  <si>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</si>
  <si>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</si>
  <si>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</si>
  <si>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</si>
  <si>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</si>
  <si>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</si>
  <si>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</si>
  <si>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</si>
  <si>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</si>
  <si>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</si>
  <si>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</si>
  <si>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</si>
  <si>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</si>
  <si>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</si>
  <si>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</si>
  <si>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</si>
  <si>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</si>
  <si>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</si>
  <si>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</si>
  <si>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</si>
  <si>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</si>
  <si>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</si>
  <si>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</si>
  <si>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</si>
  <si>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</si>
  <si>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</si>
  <si>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</si>
  <si>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</si>
  <si>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</si>
  <si>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</si>
  <si>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</si>
  <si>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</si>
  <si>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</si>
  <si>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</si>
  <si>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</si>
  <si>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</si>
  <si>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</si>
  <si>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</si>
  <si>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</si>
  <si>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</si>
  <si>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</si>
  <si>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</si>
  <si>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</si>
  <si>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</si>
  <si>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</si>
  <si>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</si>
  <si>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</si>
  <si>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</si>
  <si>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</si>
  <si>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</si>
  <si>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</si>
  <si>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</si>
  <si>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</si>
  <si>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</si>
  <si>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</si>
  <si>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</si>
  <si>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</si>
  <si>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</si>
  <si>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</si>
  <si>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</si>
  <si>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</si>
  <si>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</si>
  <si>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</si>
  <si>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</si>
  <si>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</si>
  <si>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</si>
  <si>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</si>
  <si>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</si>
  <si>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</si>
  <si>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</si>
  <si>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</si>
  <si>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</si>
  <si>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</si>
  <si>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</si>
  <si>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</si>
  <si>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</si>
  <si>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</si>
  <si>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</si>
  <si>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</si>
  <si>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</si>
  <si>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</si>
  <si>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</si>
  <si>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</si>
  <si>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</si>
  <si>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</si>
  <si>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</si>
  <si>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</si>
  <si>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</si>
  <si>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</si>
  <si>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</si>
  <si>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</si>
  <si>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</si>
  <si>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</si>
  <si>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</si>
  <si>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</si>
  <si>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</si>
  <si>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</si>
  <si>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</si>
  <si>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</si>
  <si>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</si>
  <si>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</si>
  <si>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</si>
  <si>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</si>
  <si>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</si>
  <si>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</si>
  <si>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</si>
  <si>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</si>
  <si>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</si>
  <si>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</si>
  <si>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</si>
  <si>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</si>
  <si>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</si>
  <si>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</si>
  <si>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</si>
  <si>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</si>
  <si>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</si>
  <si>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</si>
  <si>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</si>
  <si>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</si>
  <si>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</si>
  <si>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</si>
  <si>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</si>
  <si>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</si>
  <si>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</si>
  <si>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</si>
  <si>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</si>
  <si>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</si>
  <si>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</si>
  <si>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</si>
  <si>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</si>
  <si>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</si>
  <si>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</si>
  <si>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</si>
  <si>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</si>
  <si>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</si>
  <si>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</si>
  <si>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</si>
  <si>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</si>
  <si>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</si>
  <si>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</si>
  <si>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</si>
  <si>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</si>
  <si>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</si>
  <si>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</si>
  <si>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</si>
  <si>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</si>
  <si>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</si>
  <si>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</si>
  <si>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</si>
  <si>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</si>
  <si>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</si>
  <si>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</si>
  <si>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</si>
  <si>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</si>
  <si>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</si>
  <si>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</si>
  <si>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</si>
  <si>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</si>
  <si>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</si>
  <si>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</si>
  <si>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</si>
  <si>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</si>
  <si>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</si>
  <si>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</si>
  <si>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</si>
  <si>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</si>
  <si>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</si>
  <si>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</si>
  <si>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</si>
  <si>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</si>
  <si>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</si>
  <si>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</si>
  <si>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</si>
  <si>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</si>
  <si>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</si>
  <si>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</si>
  <si>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</si>
  <si>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</si>
  <si>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</si>
  <si>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</si>
  <si>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</si>
  <si>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</si>
  <si>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</si>
  <si>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</si>
  <si>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</si>
  <si>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</si>
  <si>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</si>
  <si>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</si>
  <si>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</si>
  <si>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</si>
  <si>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</si>
  <si>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</si>
  <si>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</si>
  <si>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</si>
  <si>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</si>
  <si>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</si>
  <si>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</si>
  <si>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</si>
  <si>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</si>
  <si>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</si>
  <si>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</si>
  <si>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</si>
  <si>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</si>
  <si>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</si>
  <si>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</si>
  <si>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</si>
  <si>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</si>
  <si>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</si>
  <si>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</si>
  <si>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</si>
  <si>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</si>
  <si>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</si>
  <si>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</si>
  <si>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</si>
  <si>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</si>
  <si>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</si>
  <si>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</si>
  <si>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</si>
  <si>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</si>
  <si>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</si>
  <si>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</si>
  <si>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</si>
  <si>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</si>
  <si>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</si>
  <si>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</si>
  <si>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</si>
  <si>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</si>
  <si>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</si>
  <si>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</si>
  <si>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</si>
  <si>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</si>
  <si>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</si>
  <si>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</si>
  <si>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</si>
  <si>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</si>
  <si>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</si>
  <si>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</si>
  <si>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</si>
  <si>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</si>
  <si>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</si>
  <si>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</si>
  <si>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</si>
  <si>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</si>
  <si>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</si>
  <si>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</si>
  <si>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</si>
  <si>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</si>
  <si>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</si>
  <si>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</si>
  <si>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</si>
  <si>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</si>
  <si>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</si>
  <si>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</si>
  <si>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</si>
  <si>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</si>
  <si>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</si>
  <si>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</si>
  <si>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</si>
  <si>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</si>
  <si>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</si>
  <si>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</si>
  <si>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</si>
  <si>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</si>
  <si>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</si>
  <si>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</si>
  <si>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</si>
  <si>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</si>
  <si>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</si>
  <si>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</si>
  <si>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</si>
  <si>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</si>
  <si>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</si>
  <si>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</si>
  <si>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</si>
  <si>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</si>
  <si>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</si>
  <si>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</si>
  <si>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</si>
  <si>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</si>
  <si>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</si>
  <si>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</si>
  <si>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</si>
  <si>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</si>
  <si>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</si>
  <si>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</si>
  <si>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</si>
  <si>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</si>
  <si>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</si>
  <si>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</si>
  <si>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</si>
  <si>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</si>
  <si>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</si>
  <si>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</si>
  <si>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</si>
  <si>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</si>
  <si>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</si>
  <si>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</si>
  <si>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</si>
  <si>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</si>
  <si>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</si>
  <si>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</si>
  <si>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</si>
  <si>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</si>
  <si>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</si>
  <si>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</si>
  <si>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</si>
  <si>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</si>
  <si>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</si>
  <si>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</si>
  <si>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</si>
  <si>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</si>
  <si>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</si>
  <si>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</si>
  <si>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</si>
  <si>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</si>
  <si>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</si>
  <si>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</si>
  <si>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</si>
  <si>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</si>
  <si>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</si>
  <si>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</si>
  <si>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</si>
  <si>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</si>
  <si>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</si>
  <si>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</si>
  <si>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</si>
  <si>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</si>
  <si>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</si>
  <si>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</si>
  <si>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</si>
  <si>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</si>
  <si>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</si>
  <si>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</si>
  <si>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</si>
  <si>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</si>
  <si>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</si>
  <si>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</si>
  <si>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</si>
  <si>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</si>
  <si>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</si>
  <si>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</si>
  <si>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</si>
  <si>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</si>
  <si>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</si>
  <si>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</si>
  <si>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</si>
  <si>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</si>
  <si>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</si>
  <si>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</si>
  <si>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</si>
  <si>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</si>
  <si>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</si>
  <si>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</si>
  <si>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</si>
  <si>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</si>
  <si>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</si>
  <si>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</si>
  <si>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</si>
  <si>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</si>
  <si>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</si>
  <si>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</si>
  <si>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</si>
  <si>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</si>
  <si>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</si>
  <si>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</si>
  <si>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</si>
  <si>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</si>
  <si>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</si>
  <si>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</si>
  <si>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</si>
  <si>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</si>
  <si>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</si>
  <si>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</si>
  <si>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</si>
  <si>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</si>
  <si>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</si>
  <si>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</si>
  <si>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</si>
  <si>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</si>
  <si>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</si>
  <si>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</si>
  <si>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</si>
  <si>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</si>
  <si>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</si>
  <si>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</si>
  <si>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</si>
  <si>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</si>
  <si>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</si>
  <si>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</si>
  <si>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</si>
  <si>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</si>
  <si>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</si>
  <si>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</si>
  <si>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</si>
  <si>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</si>
  <si>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</si>
  <si>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</si>
  <si>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</si>
  <si>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</si>
  <si>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</si>
  <si>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</si>
  <si>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</si>
  <si>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</si>
  <si>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</si>
  <si>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</si>
  <si>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</si>
  <si>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</si>
  <si>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</si>
  <si>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</si>
  <si>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</si>
  <si>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</si>
  <si>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</si>
  <si>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</si>
  <si>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</si>
  <si>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</si>
  <si>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</si>
  <si>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</si>
  <si>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</si>
  <si>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</si>
  <si>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</si>
  <si>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</si>
  <si>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</si>
  <si>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</si>
  <si>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</si>
  <si>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</si>
  <si>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</si>
  <si>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</si>
  <si>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</si>
  <si>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</si>
  <si>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</si>
  <si>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</si>
  <si>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</si>
  <si>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</si>
  <si>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</si>
  <si>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</si>
  <si>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</si>
  <si>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</si>
  <si>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</si>
  <si>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</si>
  <si>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</si>
  <si>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</si>
  <si>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</si>
  <si>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</si>
  <si>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</si>
  <si>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</si>
  <si>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</si>
  <si>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</si>
  <si>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</si>
  <si>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</si>
  <si>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</si>
  <si>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</si>
  <si>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</si>
  <si>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</si>
  <si>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</si>
  <si>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</si>
  <si>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</si>
  <si>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</si>
  <si>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</si>
  <si>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</si>
  <si>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</si>
  <si>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</si>
  <si>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</si>
  <si>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</si>
  <si>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</si>
  <si>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</si>
  <si>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</si>
  <si>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</si>
  <si>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</si>
  <si>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</si>
  <si>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</si>
  <si>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</si>
  <si>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</si>
  <si>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</si>
  <si>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</si>
  <si>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</si>
  <si>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</si>
  <si>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</si>
  <si>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</si>
  <si>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</si>
  <si>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</si>
  <si>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</si>
  <si>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</si>
  <si>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</si>
  <si>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</si>
  <si>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</si>
  <si>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</si>
  <si>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</si>
  <si>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</si>
  <si>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</si>
  <si>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</si>
  <si>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</si>
  <si>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</si>
  <si>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</si>
  <si>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</si>
  <si>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</si>
  <si>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</si>
  <si>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</si>
  <si>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</si>
  <si>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</si>
  <si>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</si>
  <si>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</si>
  <si>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</si>
  <si>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</si>
  <si>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</si>
  <si>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</si>
  <si>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</si>
  <si>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</si>
  <si>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</si>
  <si>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</si>
  <si>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</si>
  <si>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</si>
  <si>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</si>
  <si>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</si>
  <si>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</si>
  <si>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</si>
  <si>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</si>
  <si>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</si>
  <si>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</si>
  <si>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</si>
  <si>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</si>
  <si>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</si>
  <si>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</si>
  <si>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</si>
  <si>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</si>
  <si>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</si>
  <si>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</si>
  <si>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</si>
  <si>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</si>
  <si>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</si>
  <si>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</si>
  <si>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</si>
  <si>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</si>
  <si>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</si>
  <si>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</si>
  <si>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</si>
  <si>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</si>
  <si>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</si>
  <si>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</si>
  <si>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</si>
  <si>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</si>
  <si>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</si>
  <si>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</si>
  <si>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</si>
  <si>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</si>
  <si>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</si>
  <si>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</si>
  <si>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</si>
  <si>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</si>
  <si>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</si>
  <si>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</si>
  <si>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</si>
  <si>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</si>
  <si>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</si>
  <si>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</si>
  <si>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</si>
  <si>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</si>
  <si>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</si>
  <si>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</si>
  <si>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</si>
  <si>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</si>
  <si>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</si>
  <si>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</si>
  <si>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</si>
  <si>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</si>
  <si>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</si>
  <si>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</si>
  <si>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</si>
  <si>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</si>
  <si>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</si>
  <si>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</si>
  <si>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</si>
  <si>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</si>
  <si>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</si>
  <si>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</si>
  <si>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</si>
  <si>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</si>
  <si>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</si>
  <si>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</si>
  <si>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</si>
  <si>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</si>
  <si>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</si>
  <si>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</si>
  <si>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</si>
  <si>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</si>
  <si>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</si>
  <si>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</si>
  <si>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</si>
  <si>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</si>
  <si>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</si>
  <si>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</si>
  <si>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</si>
  <si>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</si>
  <si>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</si>
  <si>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</si>
  <si>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</si>
  <si>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</si>
  <si>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</si>
  <si>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</si>
  <si>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</si>
  <si>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</si>
  <si>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</si>
  <si>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</si>
  <si>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</si>
  <si>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</si>
  <si>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</si>
  <si>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</si>
  <si>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</si>
  <si>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</si>
  <si>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</si>
  <si>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</si>
  <si>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</si>
  <si>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</si>
  <si>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</si>
  <si>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</si>
  <si>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</si>
  <si>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</si>
  <si>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</si>
  <si>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</si>
  <si>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</si>
  <si>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</si>
  <si>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</si>
  <si>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</si>
  <si>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</si>
  <si>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</si>
  <si>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</si>
  <si>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</si>
  <si>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</si>
  <si>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</si>
  <si>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</si>
  <si>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</si>
  <si>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</si>
  <si>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</si>
  <si>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</si>
  <si>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</si>
  <si>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</si>
  <si>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</si>
  <si>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</si>
  <si>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</si>
  <si>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</si>
  <si>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</si>
  <si>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</si>
  <si>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</si>
  <si>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</si>
  <si>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</si>
  <si>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</si>
  <si>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</si>
  <si>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</si>
  <si>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</si>
  <si>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</si>
  <si>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</si>
  <si>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</si>
  <si>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</si>
  <si>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</si>
  <si>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</si>
  <si>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</si>
  <si>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</si>
  <si>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</si>
  <si>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</si>
  <si>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</si>
  <si>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</si>
  <si>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</si>
  <si>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</si>
  <si>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</si>
  <si>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</si>
  <si>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</si>
  <si>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</si>
  <si>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</si>
  <si>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</si>
  <si>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</si>
  <si>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</si>
  <si>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</si>
  <si>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</si>
  <si>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</si>
  <si>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</si>
  <si>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</si>
  <si>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</si>
  <si>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</si>
  <si>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</si>
  <si>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</si>
  <si>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</si>
  <si>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</si>
  <si>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</si>
  <si>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</si>
  <si>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</si>
  <si>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</si>
  <si>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</si>
  <si>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</si>
  <si>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</si>
  <si>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</si>
  <si>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</si>
  <si>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</si>
  <si>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</si>
  <si>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</si>
  <si>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</si>
  <si>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</si>
  <si>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</si>
  <si>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</si>
  <si>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</si>
  <si>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</si>
  <si>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</si>
  <si>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</si>
  <si>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</si>
  <si>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</si>
  <si>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</si>
  <si>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</si>
  <si>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</si>
  <si>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</si>
  <si>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</si>
  <si>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</si>
  <si>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</si>
  <si>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</si>
  <si>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</si>
  <si>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</si>
  <si>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</si>
  <si>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</si>
  <si>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</si>
  <si>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</si>
  <si>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</si>
  <si>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</si>
  <si>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</si>
  <si>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</si>
  <si>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</si>
  <si>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</si>
  <si>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</si>
  <si>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</si>
  <si>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</si>
  <si>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</si>
  <si>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</si>
  <si>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</si>
  <si>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</si>
  <si>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</si>
  <si>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</si>
  <si>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</si>
  <si>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</si>
  <si>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</si>
  <si>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</si>
  <si>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</si>
  <si>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</si>
  <si>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</si>
  <si>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</si>
  <si>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</si>
  <si>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</si>
  <si>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</si>
  <si>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</si>
  <si>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</si>
  <si>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</si>
  <si>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</si>
  <si>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</si>
  <si>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</si>
  <si>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</si>
  <si>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</si>
  <si>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</si>
  <si>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</si>
  <si>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</si>
  <si>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</si>
  <si>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</si>
  <si>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</si>
  <si>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</si>
  <si>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</si>
  <si>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</si>
  <si>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</si>
  <si>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</si>
  <si>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</si>
  <si>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</si>
  <si>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</si>
  <si>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</si>
  <si>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</si>
  <si>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</si>
  <si>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</si>
  <si>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</si>
  <si>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</si>
  <si>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</si>
  <si>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</si>
  <si>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</si>
  <si>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</si>
  <si>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</si>
  <si>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</si>
  <si>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</si>
  <si>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</si>
  <si>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</si>
  <si>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</si>
  <si>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</si>
  <si>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</si>
  <si>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</si>
  <si>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</si>
  <si>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</si>
  <si>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</si>
  <si>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</si>
  <si>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</si>
  <si>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</si>
  <si>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</si>
  <si>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</si>
  <si>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</si>
  <si>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</si>
  <si>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</si>
  <si>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</si>
  <si>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</si>
  <si>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</si>
  <si>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</si>
  <si>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</si>
  <si>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</si>
  <si>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</si>
  <si>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</si>
  <si>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</si>
  <si>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</si>
  <si>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</si>
  <si>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</si>
  <si>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</si>
  <si>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</si>
  <si>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</si>
  <si>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</si>
  <si>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</si>
  <si>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</si>
  <si>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</si>
  <si>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</si>
  <si>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</si>
  <si>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</si>
  <si>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</si>
  <si>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</si>
  <si>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</si>
  <si>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</si>
  <si>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</si>
  <si>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</si>
  <si>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</si>
  <si>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</si>
  <si>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</si>
  <si>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</si>
  <si>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</si>
  <si>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</si>
  <si>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</si>
  <si>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</si>
  <si>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</si>
  <si>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</si>
  <si>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</si>
  <si>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</si>
  <si>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</si>
  <si>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</si>
  <si>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</si>
  <si>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</si>
  <si>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</si>
  <si>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</si>
  <si>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</si>
  <si>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</si>
  <si>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</si>
  <si>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</si>
  <si>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</si>
  <si>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</si>
  <si>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</si>
  <si>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</si>
  <si>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</si>
  <si>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</si>
  <si>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</si>
  <si>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</si>
  <si>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</si>
  <si>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</si>
  <si>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</si>
  <si>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</si>
  <si>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</si>
  <si>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</si>
  <si>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</si>
  <si>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</si>
  <si>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</si>
  <si>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</si>
  <si>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</si>
  <si>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</si>
  <si>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</si>
  <si>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</si>
  <si>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</si>
  <si>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</si>
  <si>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</si>
  <si>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</si>
  <si>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</si>
  <si>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</si>
  <si>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</si>
  <si>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</si>
  <si>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</si>
  <si>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</si>
  <si>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</si>
  <si>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</si>
  <si>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</si>
  <si>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</si>
  <si>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</si>
  <si>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</si>
  <si>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</si>
  <si>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</si>
  <si>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</si>
  <si>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</si>
  <si>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</si>
  <si>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</si>
  <si>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</si>
  <si>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</si>
  <si>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</si>
  <si>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</si>
  <si>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</si>
  <si>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</si>
  <si>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</si>
  <si>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</si>
  <si>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</si>
  <si>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</si>
  <si>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</si>
  <si>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</si>
  <si>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</si>
  <si>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</si>
  <si>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</si>
  <si>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</si>
  <si>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</si>
  <si>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</si>
  <si>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</si>
  <si>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</si>
  <si>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</si>
  <si>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</si>
  <si>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</si>
  <si>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</si>
  <si>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</si>
  <si>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</si>
  <si>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</si>
  <si>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</si>
  <si>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</si>
  <si>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</si>
  <si>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</si>
  <si>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</si>
  <si>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</si>
  <si>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</si>
  <si>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</si>
  <si>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</si>
  <si>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</si>
  <si>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</si>
  <si>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</si>
  <si>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</si>
  <si>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</si>
  <si>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</si>
  <si>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</si>
  <si>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</si>
  <si>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</si>
  <si>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</si>
  <si>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</si>
  <si>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</si>
  <si>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</si>
  <si>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</si>
  <si>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</si>
  <si>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</si>
  <si>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</si>
  <si>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</si>
  <si>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</si>
  <si>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</si>
  <si>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</si>
  <si>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</si>
  <si>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</si>
  <si>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</si>
  <si>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</si>
  <si>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</si>
  <si>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</si>
  <si>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</si>
  <si>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</si>
  <si>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</si>
  <si>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</si>
  <si>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</si>
  <si>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</si>
  <si>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</si>
  <si>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</si>
  <si>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</si>
  <si>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</si>
  <si>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</si>
  <si>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</si>
  <si>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</si>
  <si>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</si>
  <si>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</si>
  <si>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</si>
  <si>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</si>
  <si>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</si>
  <si>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</si>
  <si>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</si>
  <si>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</si>
  <si>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</si>
  <si>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</si>
  <si>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</si>
  <si>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</si>
  <si>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</si>
  <si>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</si>
  <si>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</si>
  <si>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</si>
  <si>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</si>
  <si>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</si>
  <si>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</si>
  <si>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</si>
  <si>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</si>
  <si>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</si>
  <si>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</si>
  <si>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</si>
  <si>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</si>
  <si>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</si>
  <si>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</si>
  <si>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</si>
  <si>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</si>
  <si>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</si>
  <si>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</si>
  <si>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</si>
  <si>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</si>
  <si>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</si>
  <si>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</si>
  <si>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</si>
  <si>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</si>
  <si>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</si>
  <si>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</si>
  <si>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</si>
  <si>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</si>
  <si>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</si>
  <si>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</si>
  <si>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</si>
  <si>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</si>
  <si>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</si>
  <si>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</si>
  <si>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</si>
  <si>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</si>
  <si>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</si>
  <si>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</si>
  <si>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</si>
  <si>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</si>
  <si>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</si>
  <si>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</si>
  <si>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</si>
  <si>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</si>
  <si>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</si>
  <si>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</si>
  <si>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</si>
  <si>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</si>
  <si>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</si>
  <si>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</si>
  <si>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</si>
  <si>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</si>
  <si>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</si>
  <si>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</si>
  <si>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</si>
  <si>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</si>
  <si>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</si>
  <si>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</si>
  <si>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</si>
  <si>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</si>
  <si>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</si>
  <si>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</si>
  <si>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</si>
  <si>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</si>
  <si>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</si>
  <si>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</si>
  <si>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</si>
  <si>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</si>
  <si>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</si>
  <si>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</si>
  <si>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</si>
  <si>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</si>
  <si>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</si>
  <si>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</si>
  <si>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</si>
  <si>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</si>
  <si>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</si>
  <si>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</si>
  <si>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</si>
  <si>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</si>
  <si>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</si>
  <si>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</si>
  <si>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</si>
  <si>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</si>
  <si>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</si>
  <si>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</si>
  <si>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</si>
  <si>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</si>
  <si>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</si>
  <si>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</si>
  <si>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</si>
  <si>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</si>
  <si>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</si>
  <si>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</si>
  <si>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</si>
  <si>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</si>
  <si>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</si>
  <si>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</si>
  <si>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</si>
  <si>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</si>
  <si>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</si>
  <si>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</si>
  <si>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</si>
  <si>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</si>
  <si>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</si>
  <si>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</si>
  <si>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</si>
  <si>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</si>
  <si>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</si>
  <si>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</si>
  <si>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</si>
  <si>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</si>
  <si>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</si>
  <si>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</si>
  <si>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</si>
  <si>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</si>
  <si>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</si>
  <si>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</si>
  <si>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</si>
  <si>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</si>
  <si>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</si>
  <si>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</si>
  <si>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</si>
  <si>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</si>
  <si>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</si>
  <si>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</si>
  <si>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</si>
  <si>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</si>
  <si>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</si>
  <si>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</si>
  <si>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</si>
  <si>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</si>
  <si>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</si>
  <si>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</si>
  <si>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</si>
  <si>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</si>
  <si>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</si>
  <si>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</si>
  <si>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</si>
  <si>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</si>
  <si>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</si>
  <si>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</si>
  <si>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JOYCE LAMBERT, JULIEN FLORENTIN</t>
  </si>
  <si>
    <t xml:space="preserve">LOUP</t>
  </si>
  <si>
    <t xml:space="preserve">LOUP A TOURRETTE-SUR-LOUP 6</t>
  </si>
  <si>
    <t xml:space="preserve">06700175</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</si>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</sst>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42970</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13.0571428571429</v>
      </c>
      <c r="N5" s="324"/>
      <c r="O5" s="325" t="s">
        <v>830</v>
      </c>
      <c r="P5" s="326" t="n">
        <v>13.2758620689655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72</v>
      </c>
      <c r="C7" s="342" t="n">
        <v>28</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12.6666666666667</v>
      </c>
      <c r="P8" s="356" t="n">
        <f aca="false">IF(ISERROR(AVERAGE(K23:K82)),"  ",AVERAGE(K23:K82))</f>
        <v>1.91666666666667</v>
      </c>
      <c r="Q8" s="357"/>
      <c r="R8" s="281"/>
      <c r="S8" s="281"/>
      <c r="T8" s="281"/>
      <c r="U8" s="281"/>
      <c r="V8" s="281"/>
      <c r="W8" s="295"/>
      <c r="X8" s="0"/>
      <c r="Y8" s="0"/>
      <c r="Z8" s="0"/>
    </row>
    <row r="9" customFormat="false" ht="12.75" hidden="false" customHeight="false" outlineLevel="0" collapsed="false">
      <c r="A9" s="314" t="s">
        <v>3399</v>
      </c>
      <c r="B9" s="358" t="n">
        <v>6</v>
      </c>
      <c r="C9" s="359" t="n">
        <v>2</v>
      </c>
      <c r="D9" s="360"/>
      <c r="E9" s="360"/>
      <c r="F9" s="361" t="n">
        <f aca="false">($B9*$B$7+$C9*$C$7)/100</f>
        <v>4.88</v>
      </c>
      <c r="G9" s="362"/>
      <c r="H9" s="317"/>
      <c r="I9" s="281"/>
      <c r="J9" s="363"/>
      <c r="K9" s="364"/>
      <c r="L9" s="347"/>
      <c r="M9" s="365"/>
      <c r="N9" s="355" t="s">
        <v>3400</v>
      </c>
      <c r="O9" s="356" t="n">
        <f aca="false">IF(ISERROR(STDEVP(J23:J82))," ",STDEVP(J23:J82))</f>
        <v>3.92286743197994</v>
      </c>
      <c r="P9" s="356" t="n">
        <f aca="false">IF(ISERROR(STDEVP(K23:K82)),"  ",STDEVP(K23:K82))</f>
        <v>0.640095478989051</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5</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8</v>
      </c>
      <c r="M13" s="381"/>
      <c r="N13" s="389" t="s">
        <v>3412</v>
      </c>
      <c r="O13" s="390" t="n">
        <f aca="false">COUNTIF(F23:F82,"&gt;0")</f>
        <v>16</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12</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2</v>
      </c>
      <c r="M15" s="381"/>
      <c r="N15" s="389" t="s">
        <v>3418</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0.75</v>
      </c>
      <c r="N17" s="389" t="s">
        <v>3423</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5.58</v>
      </c>
      <c r="C20" s="433" t="n">
        <f aca="false">SUM(C23:C82)</f>
        <v>1.11</v>
      </c>
      <c r="D20" s="434"/>
      <c r="E20" s="435" t="s">
        <v>3425</v>
      </c>
      <c r="F20" s="436" t="n">
        <f aca="false">($B20*$B$7+$C20*$C$7)/100</f>
        <v>4.3284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4.0176</v>
      </c>
      <c r="C21" s="444" t="n">
        <f aca="false">C20*C7/100</f>
        <v>0.3108</v>
      </c>
      <c r="D21" s="445" t="s">
        <v>3428</v>
      </c>
      <c r="E21" s="446"/>
      <c r="F21" s="447" t="n">
        <f aca="false">B21+C21</f>
        <v>4.3284</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53</v>
      </c>
      <c r="B23" s="472" t="n">
        <v>0.01</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0.0072</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0.0072</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1.5</v>
      </c>
      <c r="C24" s="491" t="n">
        <v>1</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1.36</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1.36</v>
      </c>
      <c r="S24" s="485" t="n">
        <f aca="false">IF(OR(ISTEXT(H24),R24=0),"",IF(R24&lt;0.1,1,IF(R24&lt;1,2,IF(R24&lt;10,3,IF(R24&lt;50,4,IF(R24&gt;=50,5,""))))))</f>
        <v>3</v>
      </c>
      <c r="T24" s="485" t="n">
        <f aca="false">IF(ISERROR(S24*J24),0,S24*J24)</f>
        <v>18</v>
      </c>
      <c r="U24" s="485" t="n">
        <f aca="false">IF(ISERROR(S24*J24*K24),0,S24*J24*K24)</f>
        <v>18</v>
      </c>
      <c r="V24" s="501" t="n">
        <f aca="false">IF(ISERROR(S24*K24),0,S24*K24)</f>
        <v>3</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151</v>
      </c>
      <c r="B25" s="490" t="n">
        <v>0.01</v>
      </c>
      <c r="C25" s="491"/>
      <c r="D25" s="492" t="str">
        <f aca="false">IF(ISERROR(VLOOKUP($A25,'liste reference'!$A$6:$B$1174,2,0)),IF(ISERROR(VLOOKUP($A25,'liste reference'!$B$6:$B$1174,1,0)),"",VLOOKUP($A25,'liste reference'!$B$6:$B$1174,1,0)),VLOOKUP($A25,'liste reference'!$A$6:$B$1174,2,0))</f>
        <v>Diatoma sp.</v>
      </c>
      <c r="E25" s="493" t="e">
        <f aca="false">IF(D25="",0,VLOOKUP(D25,D$22:D24,1,0))</f>
        <v>#N/A</v>
      </c>
      <c r="F25" s="494" t="n">
        <f aca="false">IF(AND(OR(A25="",A25="!!!!!!"),B25="",C25=""),"",IF(OR(AND(B25="",C25=""),ISERROR(C25+B25)),"!!!",($B25*$B$7+$C25*$C$7)/100))</f>
        <v>0.0072</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Diatoma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6627</v>
      </c>
      <c r="R25" s="484" t="n">
        <f aca="false">IF(ISTEXT(H25),"",(B25*$B$7/100)+(C25*$C$7/100))</f>
        <v>0.0072</v>
      </c>
      <c r="S25" s="485" t="n">
        <f aca="false">IF(OR(ISTEXT(H25),R25=0),"",IF(R25&lt;0.1,1,IF(R25&lt;1,2,IF(R25&lt;10,3,IF(R25&lt;50,4,IF(R25&gt;=50,5,""))))))</f>
        <v>1</v>
      </c>
      <c r="T25" s="485" t="n">
        <f aca="false">IF(ISERROR(S25*J25),0,S25*J25)</f>
        <v>12</v>
      </c>
      <c r="U25" s="485" t="n">
        <f aca="false">IF(ISERROR(S25*J25*K25),0,S25*J25*K25)</f>
        <v>24</v>
      </c>
      <c r="V25" s="501" t="n">
        <f aca="false">IF(ISERROR(S25*K25),0,S25*K25)</f>
        <v>2</v>
      </c>
      <c r="W25" s="502"/>
      <c r="X25" s="503"/>
      <c r="Y25" s="488" t="str">
        <f aca="false">IF(AND(ISNUMBER(F25),OR(A25="",A25="!!!!!!")),"!!!!!!",IF(A25="new.cod","NEWCOD",IF(AND((Z25=""),ISTEXT(A25),A25&lt;&gt;"!!!!!!"),A25,IF(Z25="","",INDEX('liste reference'!$A$6:$A$1174,Z25)))))</f>
        <v>DIASPX</v>
      </c>
      <c r="Z25" s="470" t="n">
        <f aca="false">IF(ISERROR(MATCH(A25,'liste reference'!$A$6:$A$1174,0)),IF(ISERROR(MATCH(A25,'liste reference'!$B$6:$B$1174,0)),"",(MATCH(A25,'liste reference'!$B$6:$B$1174,0))),(MATCH(A25,'liste reference'!$A$6:$A$1174,0)))</f>
        <v>40</v>
      </c>
    </row>
    <row r="26" customFormat="false" ht="12.75" hidden="false" customHeight="false" outlineLevel="0" collapsed="false">
      <c r="A26" s="489" t="s">
        <v>195</v>
      </c>
      <c r="B26" s="490" t="n">
        <v>0.25</v>
      </c>
      <c r="C26" s="491" t="n">
        <v>0.01</v>
      </c>
      <c r="D26" s="492" t="str">
        <f aca="false">IF(ISERROR(VLOOKUP($A26,'liste reference'!$A$6:$B$1174,2,0)),IF(ISERROR(VLOOKUP($A26,'liste reference'!$B$6:$B$1174,1,0)),"",VLOOKUP($A26,'liste reference'!$B$6:$B$1174,1,0)),VLOOKUP($A26,'liste reference'!$A$6:$B$1174,2,0))</f>
        <v>Hildenbrandia sp.</v>
      </c>
      <c r="E26" s="493" t="e">
        <f aca="false">IF(D26="",0,VLOOKUP(D26,D$22:D25,1,0))</f>
        <v>#N/A</v>
      </c>
      <c r="F26" s="494" t="n">
        <f aca="false">IF(AND(OR(A26="",A26="!!!!!!"),B26="",C26=""),"",IF(OR(AND(B26="",C26=""),ISERROR(C26+B26)),"!!!",($B26*$B$7+$C26*$C$7)/100))</f>
        <v>0.1828</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Hildenbrandia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1157</v>
      </c>
      <c r="R26" s="484" t="n">
        <f aca="false">IF(ISTEXT(H26),"",(B26*$B$7/100)+(C26*$C$7/100))</f>
        <v>0.1828</v>
      </c>
      <c r="S26" s="485" t="n">
        <f aca="false">IF(OR(ISTEXT(H26),R26=0),"",IF(R26&lt;0.1,1,IF(R26&lt;1,2,IF(R26&lt;10,3,IF(R26&lt;50,4,IF(R26&gt;=50,5,""))))))</f>
        <v>2</v>
      </c>
      <c r="T26" s="485" t="n">
        <f aca="false">IF(ISERROR(S26*J26),0,S26*J26)</f>
        <v>30</v>
      </c>
      <c r="U26" s="485" t="n">
        <f aca="false">IF(ISERROR(S26*J26*K26),0,S26*J26*K26)</f>
        <v>60</v>
      </c>
      <c r="V26" s="501" t="n">
        <f aca="false">IF(ISERROR(S26*K26),0,S26*K26)</f>
        <v>4</v>
      </c>
      <c r="W26" s="502"/>
      <c r="X26" s="503"/>
      <c r="Y26" s="488" t="str">
        <f aca="false">IF(AND(ISNUMBER(F26),OR(A26="",A26="!!!!!!")),"!!!!!!",IF(A26="new.cod","NEWCOD",IF(AND((Z26=""),ISTEXT(A26),A26&lt;&gt;"!!!!!!"),A26,IF(Z26="","",INDEX('liste reference'!$A$6:$A$1174,Z26)))))</f>
        <v>HILSPX</v>
      </c>
      <c r="Z26" s="470" t="n">
        <f aca="false">IF(ISERROR(MATCH(A26,'liste reference'!$A$6:$A$1174,0)),IF(ISERROR(MATCH(A26,'liste reference'!$B$6:$B$1174,0)),"",(MATCH(A26,'liste reference'!$B$6:$B$1174,0))),(MATCH(A26,'liste reference'!$A$6:$A$1174,0)))</f>
        <v>53</v>
      </c>
    </row>
    <row r="27" customFormat="false" ht="12.75" hidden="false" customHeight="false" outlineLevel="0" collapsed="false">
      <c r="A27" s="489" t="s">
        <v>355</v>
      </c>
      <c r="B27" s="490"/>
      <c r="C27" s="491" t="n">
        <v>0.01</v>
      </c>
      <c r="D27" s="492" t="str">
        <f aca="false">IF(ISERROR(VLOOKUP($A27,'liste reference'!$A$6:$B$1174,2,0)),IF(ISERROR(VLOOKUP($A27,'liste reference'!$B$6:$B$1174,1,0)),"",VLOOKUP($A27,'liste reference'!$B$6:$B$1174,1,0)),VLOOKUP($A27,'liste reference'!$A$6:$B$1174,2,0))</f>
        <v>Tetraspora sp.</v>
      </c>
      <c r="E27" s="493" t="e">
        <f aca="false">IF(D27="",0,VLOOKUP(D27,D$22:D26,1,0))</f>
        <v>#N/A</v>
      </c>
      <c r="F27" s="494" t="n">
        <f aca="false">IF(AND(OR(A27="",A27="!!!!!!"),B27="",C27=""),"",IF(OR(AND(B27="",C27=""),ISERROR(C27+B27)),"!!!",($B27*$B$7+$C27*$C$7)/100))</f>
        <v>0.0028</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Tetraspora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1138</v>
      </c>
      <c r="R27" s="484" t="n">
        <f aca="false">IF(ISTEXT(H27),"",(B27*$B$7/100)+(C27*$C$7/100))</f>
        <v>0.0028</v>
      </c>
      <c r="S27" s="485" t="n">
        <f aca="false">IF(OR(ISTEXT(H27),R27=0),"",IF(R27&lt;0.1,1,IF(R27&lt;1,2,IF(R27&lt;10,3,IF(R27&lt;50,4,IF(R27&gt;=50,5,""))))))</f>
        <v>1</v>
      </c>
      <c r="T27" s="485" t="n">
        <f aca="false">IF(ISERROR(S27*J27),0,S27*J27)</f>
        <v>12</v>
      </c>
      <c r="U27" s="485" t="n">
        <f aca="false">IF(ISERROR(S27*J27*K27),0,S27*J27*K27)</f>
        <v>12</v>
      </c>
      <c r="V27" s="501" t="n">
        <f aca="false">IF(ISERROR(S27*K27),0,S27*K27)</f>
        <v>1</v>
      </c>
      <c r="W27" s="502"/>
      <c r="X27" s="503"/>
      <c r="Y27" s="488" t="str">
        <f aca="false">IF(AND(ISNUMBER(F27),OR(A27="",A27="!!!!!!")),"!!!!!!",IF(A27="new.cod","NEWCOD",IF(AND((Z27=""),ISTEXT(A27),A27&lt;&gt;"!!!!!!"),A27,IF(Z27="","",INDEX('liste reference'!$A$6:$A$1174,Z27)))))</f>
        <v>TETSPX</v>
      </c>
      <c r="Z27" s="470" t="n">
        <f aca="false">IF(ISERROR(MATCH(A27,'liste reference'!$A$6:$A$1174,0)),IF(ISERROR(MATCH(A27,'liste reference'!$B$6:$B$1174,0)),"",(MATCH(A27,'liste reference'!$B$6:$B$1174,0))),(MATCH(A27,'liste reference'!$A$6:$A$1174,0)))</f>
        <v>107</v>
      </c>
    </row>
    <row r="28" customFormat="false" ht="12.75" hidden="false" customHeight="false" outlineLevel="0" collapsed="false">
      <c r="A28" s="489" t="s">
        <v>465</v>
      </c>
      <c r="B28" s="490" t="n">
        <v>0.01</v>
      </c>
      <c r="C28" s="491"/>
      <c r="D28" s="492" t="str">
        <f aca="false">IF(ISERROR(VLOOKUP($A28,'liste reference'!$A$6:$B$1174,2,0)),IF(ISERROR(VLOOKUP($A28,'liste reference'!$B$6:$B$1174,1,0)),"",VLOOKUP($A28,'liste reference'!$B$6:$B$1174,1,0)),VLOOKUP($A28,'liste reference'!$A$6:$B$1174,2,0))</f>
        <v>Jungermannia atrovirens</v>
      </c>
      <c r="E28" s="493" t="e">
        <f aca="false">IF(D28="",0,VLOOKUP(D28,D$22:D27,1,0))</f>
        <v>#N/A</v>
      </c>
      <c r="F28" s="494" t="n">
        <f aca="false">IF(AND(OR(A28="",A28="!!!!!!"),B28="",C28=""),"",IF(OR(AND(B28="",C28=""),ISERROR(C28+B28)),"!!!",($B28*$B$7+$C28*$C$7)/100))</f>
        <v>0.0072</v>
      </c>
      <c r="G28" s="495" t="str">
        <f aca="false">IF(A28="","",IF(ISERROR(VLOOKUP($A28,'liste reference'!$A$6:$Q$1174,9,0)),IF(ISERROR(VLOOKUP($A28,'liste reference'!$B$6:$Q$1174,8,0)),"    -",VLOOKUP($A28,'liste reference'!$B$6:$Q$1174,8,0)),VLOOKUP($A28,'liste reference'!$A$6:$Q$1174,9,0)))</f>
        <v>BRh</v>
      </c>
      <c r="H28" s="496" t="n">
        <f aca="false">IF(A28="","x",IF(ISERROR(VLOOKUP($A28,'liste reference'!$A$6:$Q$1174,10,0)),IF(ISERROR(VLOOKUP($A28,'liste reference'!$B$6:$Q$1174,9,0)),"x",VLOOKUP($A28,'liste reference'!$B$6:$Q$1174,9,0)),VLOOKUP($A28,'liste reference'!$A$6:$Q$1174,10,0)))</f>
        <v>4</v>
      </c>
      <c r="I28" s="281" t="n">
        <f aca="false">IF(A28="","",1)</f>
        <v>1</v>
      </c>
      <c r="J28" s="497" t="n">
        <f aca="false">IF(ISNUMBER($H28),IF(ISERROR(VLOOKUP($A28,'liste reference'!$A$6:$Q$1174,6,0)),IF(ISERROR(VLOOKUP($A28,'liste reference'!$B$6:$Q$1174,5,0)),"nu",VLOOKUP($A28,'liste reference'!$B$6:$Q$1174,5,0)),VLOOKUP($A28,'liste reference'!$A$6:$Q$1174,6,0)),"nu")</f>
        <v>19</v>
      </c>
      <c r="K28" s="497" t="n">
        <f aca="false">IF(ISNUMBER($H28),IF(ISERROR(VLOOKUP($A28,'liste reference'!$A$6:$Q$1174,7,0)),IF(ISERROR(VLOOKUP($A28,'liste reference'!$B$6:$Q$1174,6,0)),"nu",VLOOKUP($A28,'liste reference'!$B$6:$Q$1174,6,0)),VLOOKUP($A28,'liste reference'!$A$6:$Q$1174,7,0)),"nu")</f>
        <v>3</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Jungermannia atrovirens</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19820</v>
      </c>
      <c r="R28" s="484" t="n">
        <f aca="false">IF(ISTEXT(H28),"",(B28*$B$7/100)+(C28*$C$7/100))</f>
        <v>0.0072</v>
      </c>
      <c r="S28" s="485" t="n">
        <f aca="false">IF(OR(ISTEXT(H28),R28=0),"",IF(R28&lt;0.1,1,IF(R28&lt;1,2,IF(R28&lt;10,3,IF(R28&lt;50,4,IF(R28&gt;=50,5,""))))))</f>
        <v>1</v>
      </c>
      <c r="T28" s="485" t="n">
        <f aca="false">IF(ISERROR(S28*J28),0,S28*J28)</f>
        <v>19</v>
      </c>
      <c r="U28" s="485" t="n">
        <f aca="false">IF(ISERROR(S28*J28*K28),0,S28*J28*K28)</f>
        <v>57</v>
      </c>
      <c r="V28" s="501" t="n">
        <f aca="false">IF(ISERROR(S28*K28),0,S28*K28)</f>
        <v>3</v>
      </c>
      <c r="W28" s="502"/>
      <c r="X28" s="503"/>
      <c r="Y28" s="488" t="str">
        <f aca="false">IF(AND(ISNUMBER(F28),OR(A28="",A28="!!!!!!")),"!!!!!!",IF(A28="new.cod","NEWCOD",IF(AND((Z28=""),ISTEXT(A28),A28&lt;&gt;"!!!!!!"),A28,IF(Z28="","",INDEX('liste reference'!$A$6:$A$1174,Z28)))))</f>
        <v>JUGATR</v>
      </c>
      <c r="Z28" s="470" t="n">
        <f aca="false">IF(ISERROR(MATCH(A28,'liste reference'!$A$6:$A$1174,0)),IF(ISERROR(MATCH(A28,'liste reference'!$B$6:$B$1174,0)),"",(MATCH(A28,'liste reference'!$B$6:$B$1174,0))),(MATCH(A28,'liste reference'!$A$6:$A$1174,0)))</f>
        <v>142</v>
      </c>
    </row>
    <row r="29" customFormat="false" ht="12.75" hidden="false" customHeight="false" outlineLevel="0" collapsed="false">
      <c r="A29" s="489" t="s">
        <v>557</v>
      </c>
      <c r="B29" s="490" t="n">
        <v>0.5</v>
      </c>
      <c r="C29" s="491" t="n">
        <v>0.05</v>
      </c>
      <c r="D29" s="492" t="str">
        <f aca="false">IF(ISERROR(VLOOKUP($A29,'liste reference'!$A$6:$B$1174,2,0)),IF(ISERROR(VLOOKUP($A29,'liste reference'!$B$6:$B$1174,1,0)),"",VLOOKUP($A29,'liste reference'!$B$6:$B$1174,1,0)),VLOOKUP($A29,'liste reference'!$A$6:$B$1174,2,0))</f>
        <v>Pellia sp.</v>
      </c>
      <c r="E29" s="493" t="e">
        <f aca="false">IF(D29="",0,VLOOKUP(D29,D$22:D28,1,0))</f>
        <v>#N/A</v>
      </c>
      <c r="F29" s="494" t="n">
        <f aca="false">IF(AND(OR(A29="",A29="!!!!!!"),B29="",C29=""),"",IF(OR(AND(B29="",C29=""),ISERROR(C29+B29)),"!!!",($B29*$B$7+$C29*$C$7)/100))</f>
        <v>0.374</v>
      </c>
      <c r="G29" s="495" t="str">
        <f aca="false">IF(A29="","",IF(ISERROR(VLOOKUP($A29,'liste reference'!$A$6:$Q$1174,9,0)),IF(ISERROR(VLOOKUP($A29,'liste reference'!$B$6:$Q$1174,8,0)),"    -",VLOOKUP($A29,'liste reference'!$B$6:$Q$1174,8,0)),VLOOKUP($A29,'liste reference'!$A$6:$Q$1174,9,0)))</f>
        <v>BRh</v>
      </c>
      <c r="H29" s="496" t="n">
        <f aca="false">IF(A29="","x",IF(ISERROR(VLOOKUP($A29,'liste reference'!$A$6:$Q$1174,10,0)),IF(ISERROR(VLOOKUP($A29,'liste reference'!$B$6:$Q$1174,9,0)),"x",VLOOKUP($A29,'liste reference'!$B$6:$Q$1174,9,0)),VLOOKUP($A29,'liste reference'!$A$6:$Q$1174,10,0)))</f>
        <v>4</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Pellia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1196</v>
      </c>
      <c r="R29" s="484" t="n">
        <f aca="false">IF(ISTEXT(H29),"",(B29*$B$7/100)+(C29*$C$7/100))</f>
        <v>0.374</v>
      </c>
      <c r="S29" s="485" t="n">
        <f aca="false">IF(OR(ISTEXT(H29),R29=0),"",IF(R29&lt;0.1,1,IF(R29&lt;1,2,IF(R29&lt;10,3,IF(R29&lt;50,4,IF(R29&gt;=50,5,""))))))</f>
        <v>2</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PELSPX</v>
      </c>
      <c r="Z29" s="470" t="n">
        <f aca="false">IF(ISERROR(MATCH(A29,'liste reference'!$A$6:$A$1174,0)),IF(ISERROR(MATCH(A29,'liste reference'!$B$6:$B$1174,0)),"",(MATCH(A29,'liste reference'!$B$6:$B$1174,0))),(MATCH(A29,'liste reference'!$A$6:$A$1174,0)))</f>
        <v>170</v>
      </c>
    </row>
    <row r="30" customFormat="false" ht="12.75" hidden="false" customHeight="false" outlineLevel="0" collapsed="false">
      <c r="A30" s="489" t="s">
        <v>704</v>
      </c>
      <c r="B30" s="490" t="n">
        <v>1</v>
      </c>
      <c r="C30" s="491"/>
      <c r="D30" s="492" t="str">
        <f aca="false">IF(ISERROR(VLOOKUP($A30,'liste reference'!$A$6:$B$1174,2,0)),IF(ISERROR(VLOOKUP($A30,'liste reference'!$B$6:$B$1174,1,0)),"",VLOOKUP($A30,'liste reference'!$B$6:$B$1174,1,0)),VLOOKUP($A30,'liste reference'!$A$6:$B$1174,2,0))</f>
        <v>Cinclidotus aquaticus</v>
      </c>
      <c r="E30" s="493" t="e">
        <f aca="false">IF(D30="",0,VLOOKUP(D30,D$22:D29,1,0))</f>
        <v>#N/A</v>
      </c>
      <c r="F30" s="494" t="n">
        <f aca="false">IF(AND(OR(A30="",A30="!!!!!!"),B30="",C30=""),"",IF(OR(AND(B30="",C30=""),ISERROR(C30+B30)),"!!!",($B30*$B$7+$C30*$C$7)/100))</f>
        <v>0.72</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Cinclidotus aquaticus</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1318</v>
      </c>
      <c r="R30" s="484" t="n">
        <f aca="false">IF(ISTEXT(H30),"",(B30*$B$7/100)+(C30*$C$7/100))</f>
        <v>0.72</v>
      </c>
      <c r="S30" s="485" t="n">
        <f aca="false">IF(OR(ISTEXT(H30),R30=0),"",IF(R30&lt;0.1,1,IF(R30&lt;1,2,IF(R30&lt;10,3,IF(R30&lt;50,4,IF(R30&gt;=50,5,""))))))</f>
        <v>2</v>
      </c>
      <c r="T30" s="485" t="n">
        <f aca="false">IF(ISERROR(S30*J30),0,S30*J30)</f>
        <v>30</v>
      </c>
      <c r="U30" s="485" t="n">
        <f aca="false">IF(ISERROR(S30*J30*K30),0,S30*J30*K30)</f>
        <v>60</v>
      </c>
      <c r="V30" s="501" t="n">
        <f aca="false">IF(ISERROR(S30*K30),0,S30*K30)</f>
        <v>4</v>
      </c>
      <c r="W30" s="502"/>
      <c r="X30" s="503"/>
      <c r="Y30" s="488" t="str">
        <f aca="false">IF(AND(ISNUMBER(F30),OR(A30="",A30="!!!!!!")),"!!!!!!",IF(A30="new.cod","NEWCOD",IF(AND((Z30=""),ISTEXT(A30),A30&lt;&gt;"!!!!!!"),A30,IF(Z30="","",INDEX('liste reference'!$A$6:$A$1174,Z30)))))</f>
        <v>CINAQU</v>
      </c>
      <c r="Z30" s="470" t="n">
        <f aca="false">IF(ISERROR(MATCH(A30,'liste reference'!$A$6:$A$1174,0)),IF(ISERROR(MATCH(A30,'liste reference'!$B$6:$B$1174,0)),"",(MATCH(A30,'liste reference'!$B$6:$B$1174,0))),(MATCH(A30,'liste reference'!$A$6:$A$1174,0)))</f>
        <v>221</v>
      </c>
    </row>
    <row r="31" customFormat="false" ht="12.75" hidden="false" customHeight="false" outlineLevel="0" collapsed="false">
      <c r="A31" s="489" t="s">
        <v>712</v>
      </c>
      <c r="B31" s="490" t="n">
        <v>0.75</v>
      </c>
      <c r="C31" s="491"/>
      <c r="D31" s="492" t="str">
        <f aca="false">IF(ISERROR(VLOOKUP($A31,'liste reference'!$A$6:$B$1174,2,0)),IF(ISERROR(VLOOKUP($A31,'liste reference'!$B$6:$B$1174,1,0)),"",VLOOKUP($A31,'liste reference'!$B$6:$B$1174,1,0)),VLOOKUP($A31,'liste reference'!$A$6:$B$1174,2,0))</f>
        <v>Cinclidotus riparius</v>
      </c>
      <c r="E31" s="493" t="e">
        <f aca="false">IF(D31="",0,VLOOKUP(D31,D$22:D30,1,0))</f>
        <v>#N/A</v>
      </c>
      <c r="F31" s="494" t="n">
        <f aca="false">IF(AND(OR(A31="",A31="!!!!!!"),B31="",C31=""),"",IF(OR(AND(B31="",C31=""),ISERROR(C31+B31)),"!!!",($B31*$B$7+$C31*$C$7)/100))</f>
        <v>0.54</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13</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Cinclidotus riparius</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1321</v>
      </c>
      <c r="R31" s="484" t="n">
        <f aca="false">IF(ISTEXT(H31),"",(B31*$B$7/100)+(C31*$C$7/100))</f>
        <v>0.54</v>
      </c>
      <c r="S31" s="485" t="n">
        <f aca="false">IF(OR(ISTEXT(H31),R31=0),"",IF(R31&lt;0.1,1,IF(R31&lt;1,2,IF(R31&lt;10,3,IF(R31&lt;50,4,IF(R31&gt;=50,5,""))))))</f>
        <v>2</v>
      </c>
      <c r="T31" s="485" t="n">
        <f aca="false">IF(ISERROR(S31*J31),0,S31*J31)</f>
        <v>26</v>
      </c>
      <c r="U31" s="485" t="n">
        <f aca="false">IF(ISERROR(S31*J31*K31),0,S31*J31*K31)</f>
        <v>52</v>
      </c>
      <c r="V31" s="501" t="n">
        <f aca="false">IF(ISERROR(S31*K31),0,S31*K31)</f>
        <v>4</v>
      </c>
      <c r="W31" s="502"/>
      <c r="X31" s="503"/>
      <c r="Y31" s="488" t="str">
        <f aca="false">IF(AND(ISNUMBER(F31),OR(A31="",A31="!!!!!!")),"!!!!!!",IF(A31="new.cod","NEWCOD",IF(AND((Z31=""),ISTEXT(A31),A31&lt;&gt;"!!!!!!"),A31,IF(Z31="","",INDEX('liste reference'!$A$6:$A$1174,Z31)))))</f>
        <v>CINRIP</v>
      </c>
      <c r="Z31" s="470" t="n">
        <f aca="false">IF(ISERROR(MATCH(A31,'liste reference'!$A$6:$A$1174,0)),IF(ISERROR(MATCH(A31,'liste reference'!$B$6:$B$1174,0)),"",(MATCH(A31,'liste reference'!$B$6:$B$1174,0))),(MATCH(A31,'liste reference'!$A$6:$A$1174,0)))</f>
        <v>224</v>
      </c>
    </row>
    <row r="32" customFormat="false" ht="12.75" hidden="false" customHeight="false" outlineLevel="0" collapsed="false">
      <c r="A32" s="489" t="s">
        <v>723</v>
      </c>
      <c r="B32" s="490" t="n">
        <v>0.01</v>
      </c>
      <c r="C32" s="491"/>
      <c r="D32" s="492" t="str">
        <f aca="false">IF(ISERROR(VLOOKUP($A32,'liste reference'!$A$6:$B$1174,2,0)),IF(ISERROR(VLOOKUP($A32,'liste reference'!$B$6:$B$1174,1,0)),"",VLOOKUP($A32,'liste reference'!$B$6:$B$1174,1,0)),VLOOKUP($A32,'liste reference'!$A$6:$B$1174,2,0))</f>
        <v>Cratoneuron filicinum</v>
      </c>
      <c r="E32" s="493" t="e">
        <f aca="false">IF(D32="",0,VLOOKUP(D32,D$22:D31,1,0))</f>
        <v>#N/A</v>
      </c>
      <c r="F32" s="494" t="n">
        <f aca="false">IF(AND(OR(A32="",A32="!!!!!!"),B32="",C32=""),"",IF(OR(AND(B32="",C32=""),ISERROR(C32+B32)),"!!!",($B32*$B$7+$C32*$C$7)/100))</f>
        <v>0.0072</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18</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Cratoneuron filicinum</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1233</v>
      </c>
      <c r="R32" s="484" t="n">
        <f aca="false">IF(ISTEXT(H32),"",(B32*$B$7/100)+(C32*$C$7/100))</f>
        <v>0.0072</v>
      </c>
      <c r="S32" s="485" t="n">
        <f aca="false">IF(OR(ISTEXT(H32),R32=0),"",IF(R32&lt;0.1,1,IF(R32&lt;1,2,IF(R32&lt;10,3,IF(R32&lt;50,4,IF(R32&gt;=50,5,""))))))</f>
        <v>1</v>
      </c>
      <c r="T32" s="485" t="n">
        <f aca="false">IF(ISERROR(S32*J32),0,S32*J32)</f>
        <v>18</v>
      </c>
      <c r="U32" s="485" t="n">
        <f aca="false">IF(ISERROR(S32*J32*K32),0,S32*J32*K32)</f>
        <v>54</v>
      </c>
      <c r="V32" s="501" t="n">
        <f aca="false">IF(ISERROR(S32*K32),0,S32*K32)</f>
        <v>3</v>
      </c>
      <c r="W32" s="502"/>
      <c r="X32" s="503"/>
      <c r="Y32" s="488" t="str">
        <f aca="false">IF(AND(ISNUMBER(F32),OR(A32="",A32="!!!!!!")),"!!!!!!",IF(A32="new.cod","NEWCOD",IF(AND((Z32=""),ISTEXT(A32),A32&lt;&gt;"!!!!!!"),A32,IF(Z32="","",INDEX('liste reference'!$A$6:$A$1174,Z32)))))</f>
        <v>CRAFIL</v>
      </c>
      <c r="Z32" s="470" t="n">
        <f aca="false">IF(ISERROR(MATCH(A32,'liste reference'!$A$6:$A$1174,0)),IF(ISERROR(MATCH(A32,'liste reference'!$B$6:$B$1174,0)),"",(MATCH(A32,'liste reference'!$B$6:$B$1174,0))),(MATCH(A32,'liste reference'!$A$6:$A$1174,0)))</f>
        <v>227</v>
      </c>
    </row>
    <row r="33" customFormat="false" ht="12.75" hidden="false" customHeight="false" outlineLevel="0" collapsed="false">
      <c r="A33" s="489" t="s">
        <v>830</v>
      </c>
      <c r="B33" s="490" t="n">
        <v>1.5</v>
      </c>
      <c r="C33" s="491"/>
      <c r="D33" s="492" t="str">
        <f aca="false">IF(ISERROR(VLOOKUP($A33,'liste reference'!$A$6:$B$1174,2,0)),IF(ISERROR(VLOOKUP($A33,'liste reference'!$B$6:$B$1174,1,0)),"",VLOOKUP($A33,'liste reference'!$B$6:$B$1174,1,0)),VLOOKUP($A33,'liste reference'!$A$6:$B$1174,2,0))</f>
        <v>Fissidens crassipes</v>
      </c>
      <c r="E33" s="493" t="e">
        <f aca="false">IF(D33="",0,VLOOKUP(D33,D$22:D32,1,0))</f>
        <v>#N/A</v>
      </c>
      <c r="F33" s="494" t="n">
        <f aca="false">IF(AND(OR(A33="",A33="!!!!!!"),B33="",C33=""),"",IF(OR(AND(B33="",C33=""),ISERROR(C33+B33)),"!!!",($B33*$B$7+$C33*$C$7)/100))</f>
        <v>1.08</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12</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Fissidens crassipes</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1294</v>
      </c>
      <c r="R33" s="484" t="n">
        <f aca="false">IF(ISTEXT(H33),"",(B33*$B$7/100)+(C33*$C$7/100))</f>
        <v>1.08</v>
      </c>
      <c r="S33" s="485" t="n">
        <f aca="false">IF(OR(ISTEXT(H33),R33=0),"",IF(R33&lt;0.1,1,IF(R33&lt;1,2,IF(R33&lt;10,3,IF(R33&lt;50,4,IF(R33&gt;=50,5,""))))))</f>
        <v>3</v>
      </c>
      <c r="T33" s="485" t="n">
        <f aca="false">IF(ISERROR(S33*J33),0,S33*J33)</f>
        <v>36</v>
      </c>
      <c r="U33" s="485" t="n">
        <f aca="false">IF(ISERROR(S33*J33*K33),0,S33*J33*K33)</f>
        <v>72</v>
      </c>
      <c r="V33" s="501" t="n">
        <f aca="false">IF(ISERROR(S33*K33),0,S33*K33)</f>
        <v>6</v>
      </c>
      <c r="W33" s="502"/>
      <c r="X33" s="503"/>
      <c r="Y33" s="488" t="str">
        <f aca="false">IF(AND(ISNUMBER(F33),OR(A33="",A33="!!!!!!")),"!!!!!!",IF(A33="new.cod","NEWCOD",IF(AND((Z33=""),ISTEXT(A33),A33&lt;&gt;"!!!!!!"),A33,IF(Z33="","",INDEX('liste reference'!$A$6:$A$1174,Z33)))))</f>
        <v>FISCRA</v>
      </c>
      <c r="Z33" s="470" t="n">
        <f aca="false">IF(ISERROR(MATCH(A33,'liste reference'!$A$6:$A$1174,0)),IF(ISERROR(MATCH(A33,'liste reference'!$B$6:$B$1174,0)),"",(MATCH(A33,'liste reference'!$B$6:$B$1174,0))),(MATCH(A33,'liste reference'!$A$6:$A$1174,0)))</f>
        <v>255</v>
      </c>
    </row>
    <row r="34" customFormat="false" ht="12.75" hidden="false" customHeight="false" outlineLevel="0" collapsed="false">
      <c r="A34" s="489" t="s">
        <v>974</v>
      </c>
      <c r="B34" s="490" t="n">
        <v>0.01</v>
      </c>
      <c r="C34" s="491"/>
      <c r="D34" s="492" t="str">
        <f aca="false">IF(ISERROR(VLOOKUP($A34,'liste reference'!$A$6:$B$1174,2,0)),IF(ISERROR(VLOOKUP($A34,'liste reference'!$B$6:$B$1174,1,0)),"",VLOOKUP($A34,'liste reference'!$B$6:$B$1174,1,0)),VLOOKUP($A34,'liste reference'!$A$6:$B$1174,2,0))</f>
        <v>Leptodictyum riparium </v>
      </c>
      <c r="E34" s="493" t="e">
        <f aca="false">IF(D34="",0,VLOOKUP(D34,D$22:D33,1,0))</f>
        <v>#N/A</v>
      </c>
      <c r="F34" s="494" t="n">
        <f aca="false">IF(AND(OR(A34="",A34="!!!!!!"),B34="",C34=""),"",IF(OR(AND(B34="",C34=""),ISERROR(C34+B34)),"!!!",($B34*$B$7+$C34*$C$7)/100))</f>
        <v>0.0072</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Leptodictyum riparium </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1244</v>
      </c>
      <c r="R34" s="484" t="n">
        <f aca="false">IF(ISTEXT(H34),"",(B34*$B$7/100)+(C34*$C$7/100))</f>
        <v>0.0072</v>
      </c>
      <c r="S34" s="485" t="n">
        <f aca="false">IF(OR(ISTEXT(H34),R34=0),"",IF(R34&lt;0.1,1,IF(R34&lt;1,2,IF(R34&lt;10,3,IF(R34&lt;50,4,IF(R34&gt;=50,5,""))))))</f>
        <v>1</v>
      </c>
      <c r="T34" s="485" t="n">
        <f aca="false">IF(ISERROR(S34*J34),0,S34*J34)</f>
        <v>5</v>
      </c>
      <c r="U34" s="485" t="n">
        <f aca="false">IF(ISERROR(S34*J34*K34),0,S34*J34*K34)</f>
        <v>10</v>
      </c>
      <c r="V34" s="501" t="n">
        <f aca="false">IF(ISERROR(S34*K34),0,S34*K34)</f>
        <v>2</v>
      </c>
      <c r="W34" s="502"/>
      <c r="X34" s="503"/>
      <c r="Y34" s="488" t="str">
        <f aca="false">IF(AND(ISNUMBER(F34),OR(A34="",A34="!!!!!!")),"!!!!!!",IF(A34="new.cod","NEWCOD",IF(AND((Z34=""),ISTEXT(A34),A34&lt;&gt;"!!!!!!"),A34,IF(Z34="","",INDEX('liste reference'!$A$6:$A$1174,Z34)))))</f>
        <v>LEORIP</v>
      </c>
      <c r="Z34" s="470" t="n">
        <f aca="false">IF(ISERROR(MATCH(A34,'liste reference'!$A$6:$A$1174,0)),IF(ISERROR(MATCH(A34,'liste reference'!$B$6:$B$1174,0)),"",(MATCH(A34,'liste reference'!$B$6:$B$1174,0))),(MATCH(A34,'liste reference'!$A$6:$A$1174,0)))</f>
        <v>298</v>
      </c>
    </row>
    <row r="35" customFormat="false" ht="12.75" hidden="false" customHeight="false" outlineLevel="0" collapsed="false">
      <c r="A35" s="489" t="s">
        <v>1122</v>
      </c>
      <c r="B35" s="490" t="n">
        <v>0.03</v>
      </c>
      <c r="C35" s="491"/>
      <c r="D35" s="492" t="str">
        <f aca="false">IF(ISERROR(VLOOKUP($A35,'liste reference'!$A$6:$B$1174,2,0)),IF(ISERROR(VLOOKUP($A35,'liste reference'!$B$6:$B$1174,1,0)),"",VLOOKUP($A35,'liste reference'!$B$6:$B$1174,1,0)),VLOOKUP($A35,'liste reference'!$A$6:$B$1174,2,0))</f>
        <v>Rhynchostegium riparioides</v>
      </c>
      <c r="E35" s="493" t="e">
        <f aca="false">IF(D35="",0,VLOOKUP(D35,D$22:D34,1,0))</f>
        <v>#N/A</v>
      </c>
      <c r="F35" s="494" t="n">
        <f aca="false">IF(AND(OR(A35="",A35="!!!!!!"),B35="",C35=""),"",IF(OR(AND(B35="",C35=""),ISERROR(C35+B35)),"!!!",($B35*$B$7+$C35*$C$7)/100))</f>
        <v>0.0216</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Rhynchostegium riparioides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31691</v>
      </c>
      <c r="R35" s="484" t="n">
        <f aca="false">IF(ISTEXT(H35),"",(B35*$B$7/100)+(C35*$C$7/100))</f>
        <v>0.0216</v>
      </c>
      <c r="S35" s="485" t="n">
        <f aca="false">IF(OR(ISTEXT(H35),R35=0),"",IF(R35&lt;0.1,1,IF(R35&lt;1,2,IF(R35&lt;10,3,IF(R35&lt;50,4,IF(R35&gt;=50,5,""))))))</f>
        <v>1</v>
      </c>
      <c r="T35" s="485" t="n">
        <f aca="false">IF(ISERROR(S35*J35),0,S35*J35)</f>
        <v>12</v>
      </c>
      <c r="U35" s="485" t="n">
        <f aca="false">IF(ISERROR(S35*J35*K35),0,S35*J35*K35)</f>
        <v>12</v>
      </c>
      <c r="V35" s="501" t="n">
        <f aca="false">IF(ISERROR(S35*K35),0,S35*K35)</f>
        <v>1</v>
      </c>
      <c r="W35" s="502"/>
      <c r="X35" s="503"/>
      <c r="Y35" s="488" t="str">
        <f aca="false">IF(AND(ISNUMBER(F35),OR(A35="",A35="!!!!!!")),"!!!!!!",IF(A35="new.cod","NEWCOD",IF(AND((Z35=""),ISTEXT(A35),A35&lt;&gt;"!!!!!!"),A35,IF(Z35="","",INDEX('liste reference'!$A$6:$A$1174,Z35)))))</f>
        <v>RHYRIP</v>
      </c>
      <c r="Z35" s="470" t="n">
        <f aca="false">IF(ISERROR(MATCH(A35,'liste reference'!$A$6:$A$1174,0)),IF(ISERROR(MATCH(A35,'liste reference'!$B$6:$B$1174,0)),"",(MATCH(A35,'liste reference'!$B$6:$B$1174,0))),(MATCH(A35,'liste reference'!$A$6:$A$1174,0)))</f>
        <v>345</v>
      </c>
    </row>
    <row r="36" customFormat="false" ht="12.75" hidden="false" customHeight="false" outlineLevel="0" collapsed="false">
      <c r="A36" s="489" t="s">
        <v>1255</v>
      </c>
      <c r="B36" s="490"/>
      <c r="C36" s="491" t="n">
        <v>0.02</v>
      </c>
      <c r="D36" s="492" t="str">
        <f aca="false">IF(ISERROR(VLOOKUP($A36,'liste reference'!$A$6:$B$1174,2,0)),IF(ISERROR(VLOOKUP($A36,'liste reference'!$B$6:$B$1174,1,0)),"",VLOOKUP($A36,'liste reference'!$B$6:$B$1174,1,0)),VLOOKUP($A36,'liste reference'!$A$6:$B$1174,2,0))</f>
        <v>Equisetum arvense</v>
      </c>
      <c r="E36" s="493" t="e">
        <f aca="false">IF(D36="",0,VLOOKUP(D36,D$22:D35,1,0))</f>
        <v>#N/A</v>
      </c>
      <c r="F36" s="494" t="n">
        <f aca="false">IF(AND(OR(A36="",A36="!!!!!!"),B36="",C36=""),"",IF(OR(AND(B36="",C36=""),ISERROR(C36+B36)),"!!!",($B36*$B$7+$C36*$C$7)/100))</f>
        <v>0.0056</v>
      </c>
      <c r="G36" s="495" t="str">
        <f aca="false">IF(A36="","",IF(ISERROR(VLOOKUP($A36,'liste reference'!$A$6:$Q$1174,9,0)),IF(ISERROR(VLOOKUP($A36,'liste reference'!$B$6:$Q$1174,8,0)),"    -",VLOOKUP($A36,'liste reference'!$B$6:$Q$1174,8,0)),VLOOKUP($A36,'liste reference'!$A$6:$Q$1174,9,0)))</f>
        <v>PTE</v>
      </c>
      <c r="H36" s="496" t="n">
        <f aca="false">IF(A36="","x",IF(ISERROR(VLOOKUP($A36,'liste reference'!$A$6:$Q$1174,10,0)),IF(ISERROR(VLOOKUP($A36,'liste reference'!$B$6:$Q$1174,9,0)),"x",VLOOKUP($A36,'liste reference'!$B$6:$Q$1174,9,0)),VLOOKUP($A36,'liste reference'!$A$6:$Q$1174,10,0)))</f>
        <v>6</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Equisetum arvense</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1384</v>
      </c>
      <c r="R36" s="484" t="n">
        <f aca="false">IF(ISTEXT(H36),"",(B36*$B$7/100)+(C36*$C$7/100))</f>
        <v>0.0056</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EQUARV</v>
      </c>
      <c r="Z36" s="470" t="n">
        <f aca="false">IF(ISERROR(MATCH(A36,'liste reference'!$A$6:$A$1174,0)),IF(ISERROR(MATCH(A36,'liste reference'!$B$6:$B$1174,0)),"",(MATCH(A36,'liste reference'!$B$6:$B$1174,0))),(MATCH(A36,'liste reference'!$A$6:$A$1174,0)))</f>
        <v>385</v>
      </c>
    </row>
    <row r="37" customFormat="false" ht="12.75" hidden="false" customHeight="false" outlineLevel="0" collapsed="false">
      <c r="A37" s="489" t="s">
        <v>2699</v>
      </c>
      <c r="B37" s="490"/>
      <c r="C37" s="491" t="n">
        <v>0.01</v>
      </c>
      <c r="D37" s="492" t="str">
        <f aca="false">IF(ISERROR(VLOOKUP($A37,'liste reference'!$A$6:$B$1174,2,0)),IF(ISERROR(VLOOKUP($A37,'liste reference'!$B$6:$B$1174,1,0)),"",VLOOKUP($A37,'liste reference'!$B$6:$B$1174,1,0)),VLOOKUP($A37,'liste reference'!$A$6:$B$1174,2,0))</f>
        <v>Lythrum salicaria</v>
      </c>
      <c r="E37" s="493" t="e">
        <f aca="false">IF(D37="",0,VLOOKUP(D37,D$22:D36,1,0))</f>
        <v>#N/A</v>
      </c>
      <c r="F37" s="494" t="n">
        <f aca="false">IF(AND(OR(A37="",A37="!!!!!!"),B37="",C37=""),"",IF(OR(AND(B37="",C37=""),ISERROR(C37+B37)),"!!!",($B37*$B$7+$C37*$C$7)/100))</f>
        <v>0.0028</v>
      </c>
      <c r="G37" s="495" t="str">
        <f aca="false">IF(A37="","",IF(ISERROR(VLOOKUP($A37,'liste reference'!$A$6:$Q$1174,9,0)),IF(ISERROR(VLOOKUP($A37,'liste reference'!$B$6:$Q$1174,8,0)),"    -",VLOOKUP($A37,'liste reference'!$B$6:$Q$1174,8,0)),VLOOKUP($A37,'liste reference'!$A$6:$Q$1174,9,0)))</f>
        <v>PHg</v>
      </c>
      <c r="H37" s="496" t="n">
        <f aca="false">IF(A37="","x",IF(ISERROR(VLOOKUP($A37,'liste reference'!$A$6:$Q$1174,10,0)),IF(ISERROR(VLOOKUP($A37,'liste reference'!$B$6:$Q$1174,9,0)),"x",VLOOKUP($A37,'liste reference'!$B$6:$Q$1174,9,0)),VLOOKUP($A37,'liste reference'!$A$6:$Q$1174,10,0)))</f>
        <v>9</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Lythrum salicaria</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1823</v>
      </c>
      <c r="R37" s="484" t="n">
        <f aca="false">IF(ISTEXT(H37),"",(B37*$B$7/100)+(C37*$C$7/100))</f>
        <v>0.0028</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LYTSAL</v>
      </c>
      <c r="Z37" s="470" t="n">
        <f aca="false">IF(ISERROR(MATCH(A37,'liste reference'!$A$6:$A$1174,0)),IF(ISERROR(MATCH(A37,'liste reference'!$B$6:$B$1174,0)),"",(MATCH(A37,'liste reference'!$B$6:$B$1174,0))),(MATCH(A37,'liste reference'!$A$6:$A$1174,0)))</f>
        <v>902</v>
      </c>
    </row>
    <row r="38" customFormat="false" ht="12.75" hidden="false" customHeight="false" outlineLevel="0" collapsed="false">
      <c r="A38" s="489" t="s">
        <v>2995</v>
      </c>
      <c r="B38" s="490"/>
      <c r="C38" s="491" t="n">
        <v>0.01</v>
      </c>
      <c r="D38" s="492" t="str">
        <f aca="false">IF(ISERROR(VLOOKUP($A38,'liste reference'!$A$6:$B$1174,2,0)),IF(ISERROR(VLOOKUP($A38,'liste reference'!$B$6:$B$1174,1,0)),"",VLOOKUP($A38,'liste reference'!$B$6:$B$1174,1,0)),VLOOKUP($A38,'liste reference'!$A$6:$B$1174,2,0))</f>
        <v>Artemisia vulgaris</v>
      </c>
      <c r="E38" s="493" t="e">
        <f aca="false">IF(D38="",0,VLOOKUP(D38,D$22:D37,1,0))</f>
        <v>#N/A</v>
      </c>
      <c r="F38" s="494" t="n">
        <f aca="false">IF(AND(OR(A38="",A38="!!!!!!"),B38="",C38=""),"",IF(OR(AND(B38="",C38=""),ISERROR(C38+B38)),"!!!",($B38*$B$7+$C38*$C$7)/100))</f>
        <v>0.0028</v>
      </c>
      <c r="G38" s="495" t="str">
        <f aca="false">IF(A38="","",IF(ISERROR(VLOOKUP($A38,'liste reference'!$A$6:$Q$1174,9,0)),IF(ISERROR(VLOOKUP($A38,'liste reference'!$B$6:$Q$1174,8,0)),"    -",VLOOKUP($A38,'liste reference'!$B$6:$Q$1174,8,0)),VLOOKUP($A38,'liste reference'!$A$6:$Q$1174,9,0)))</f>
        <v>PHx</v>
      </c>
      <c r="H38" s="496" t="n">
        <f aca="false">IF(A38="","x",IF(ISERROR(VLOOKUP($A38,'liste reference'!$A$6:$Q$1174,10,0)),IF(ISERROR(VLOOKUP($A38,'liste reference'!$B$6:$Q$1174,9,0)),"x",VLOOKUP($A38,'liste reference'!$B$6:$Q$1174,9,0)),VLOOKUP($A38,'liste reference'!$A$6:$Q$1174,10,0)))</f>
        <v>10</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Artemisia vulgaris</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29915</v>
      </c>
      <c r="R38" s="484" t="n">
        <f aca="false">IF(ISTEXT(H38),"",(B38*$B$7/100)+(C38*$C$7/100))</f>
        <v>0.0028</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ARTVUL</v>
      </c>
      <c r="Z38" s="470" t="n">
        <f aca="false">IF(ISERROR(MATCH(A38,'liste reference'!$A$6:$A$1174,0)),IF(ISERROR(MATCH(A38,'liste reference'!$B$6:$B$1174,0)),"",(MATCH(A38,'liste reference'!$B$6:$B$1174,0))),(MATCH(A38,'liste reference'!$A$6:$A$1174,0)))</f>
        <v>1014</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4.3284</v>
      </c>
      <c r="G83" s="424"/>
      <c r="H83" s="424"/>
      <c r="I83" s="424"/>
      <c r="J83" s="424"/>
      <c r="K83" s="424"/>
      <c r="L83" s="424"/>
      <c r="M83" s="485"/>
      <c r="N83" s="485"/>
      <c r="O83" s="485"/>
      <c r="P83" s="485"/>
      <c r="Q83" s="485"/>
      <c r="R83" s="485"/>
      <c r="S83" s="485"/>
      <c r="T83" s="485"/>
      <c r="U83" s="485"/>
      <c r="V83" s="485" t="n">
        <f aca="false">SUM(V23:V82)</f>
        <v>35</v>
      </c>
      <c r="W83" s="485"/>
      <c r="X83" s="523"/>
      <c r="Y83" s="523"/>
      <c r="Z83" s="524"/>
    </row>
    <row r="84" customFormat="false" ht="12.75" hidden="true" customHeight="false" outlineLevel="0" collapsed="false">
      <c r="A84" s="518" t="str">
        <f aca="false">A3</f>
        <v>LOUP</v>
      </c>
      <c r="B84" s="453" t="str">
        <f aca="false">C3</f>
        <v>LOUP A TOURRETTE-SUR-LOUP 6</v>
      </c>
      <c r="C84" s="525" t="str">
        <f aca="false">A4</f>
        <v>(Date)</v>
      </c>
      <c r="D84" s="526" t="n">
        <f aca="false">IF(OR(ISERROR(SUM($U$23:$U$82)/SUM($V$23:$V$82)),F7&lt;&gt;100),-1,SUM($U$23:$U$82)/SUM($V$23:$V$82))</f>
        <v>13.0571428571429</v>
      </c>
      <c r="E84" s="527" t="n">
        <f aca="false">O13</f>
        <v>16</v>
      </c>
      <c r="F84" s="453" t="n">
        <f aca="false">O14</f>
        <v>12</v>
      </c>
      <c r="G84" s="453" t="n">
        <f aca="false">O15</f>
        <v>3</v>
      </c>
      <c r="H84" s="453" t="n">
        <f aca="false">O16</f>
        <v>7</v>
      </c>
      <c r="I84" s="453" t="n">
        <f aca="false">O17</f>
        <v>2</v>
      </c>
      <c r="J84" s="528" t="n">
        <f aca="false">O8</f>
        <v>12.6666666666667</v>
      </c>
      <c r="K84" s="529" t="n">
        <f aca="false">O9</f>
        <v>3.92286743197994</v>
      </c>
      <c r="L84" s="530" t="n">
        <f aca="false">O10</f>
        <v>5</v>
      </c>
      <c r="M84" s="530" t="n">
        <f aca="false">O11</f>
        <v>19</v>
      </c>
      <c r="N84" s="529" t="n">
        <f aca="false">P8</f>
        <v>1.91666666666667</v>
      </c>
      <c r="O84" s="529" t="n">
        <f aca="false">P9</f>
        <v>0.640095478989051</v>
      </c>
      <c r="P84" s="530" t="n">
        <f aca="false">P10</f>
        <v>1</v>
      </c>
      <c r="Q84" s="530" t="n">
        <f aca="false">P11</f>
        <v>3</v>
      </c>
      <c r="R84" s="530" t="n">
        <f aca="false">F21</f>
        <v>4.3284</v>
      </c>
      <c r="S84" s="530" t="n">
        <f aca="false">L11</f>
        <v>0</v>
      </c>
      <c r="T84" s="530" t="n">
        <f aca="false">L12</f>
        <v>5</v>
      </c>
      <c r="U84" s="530" t="n">
        <f aca="false">L13</f>
        <v>8</v>
      </c>
      <c r="V84" s="531" t="n">
        <f aca="false">L15</f>
        <v>2</v>
      </c>
      <c r="W84" s="532" t="n">
        <f aca="false">L15</f>
        <v>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36</v>
      </c>
      <c r="U87" s="281"/>
      <c r="V87" s="281"/>
    </row>
    <row r="88" customFormat="false" ht="12.75" hidden="true" customHeight="false" outlineLevel="0" collapsed="false">
      <c r="C88" s="534"/>
      <c r="D88" s="534"/>
      <c r="E88" s="534"/>
      <c r="R88" s="281" t="s">
        <v>3452</v>
      </c>
      <c r="S88" s="281"/>
      <c r="T88" s="536" t="n">
        <f aca="false">VLOOKUP($T$91,($A$23:$U$82),21,0)</f>
        <v>72</v>
      </c>
      <c r="U88" s="281"/>
      <c r="V88" s="281" t="n">
        <f aca="false">COUNTIF(V23:V82,T89)</f>
        <v>1</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13.2758620689655</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FISCRA</v>
      </c>
      <c r="U91" s="281" t="n">
        <f aca="false">IF(ISERROR(MATCH($T$93,'liste reference'!$A$6:$A$1174,0)),MATCH($T$93,'liste reference'!$B$6:$B$1174,0),(MATCH($T$93,'liste reference'!$A$6:$A$1174,0)))</f>
        <v>255</v>
      </c>
      <c r="V91" s="538"/>
    </row>
    <row r="92" customFormat="false" ht="12.75" hidden="true" customHeight="false" outlineLevel="0" collapsed="false">
      <c r="C92" s="534"/>
      <c r="D92" s="534"/>
      <c r="E92" s="534"/>
      <c r="R92" s="281" t="s">
        <v>3456</v>
      </c>
      <c r="S92" s="281"/>
      <c r="T92" s="281" t="n">
        <f aca="false">MATCH(T89,$V$23:$V$82,0)</f>
        <v>11</v>
      </c>
      <c r="U92" s="281"/>
    </row>
    <row r="93" customFormat="false" ht="12.75" hidden="true" customHeight="false" outlineLevel="0" collapsed="false">
      <c r="C93" s="534"/>
      <c r="D93" s="534"/>
      <c r="E93" s="534"/>
      <c r="R93" s="485" t="s">
        <v>3457</v>
      </c>
      <c r="S93" s="281"/>
      <c r="T93" s="485" t="str">
        <f aca="false">INDEX($A$23:$A$82,$T$92)</f>
        <v>FISCRA</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jlam</cp:lastModifiedBy>
  <cp:lastPrinted>2015-05-20T10:23:22Z</cp:lastPrinted>
  <dcterms:modified xsi:type="dcterms:W3CDTF">2018-03-16T15:41:03Z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