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hidden" r:id="rId6"/>
    <sheet name="note V4" sheetId="5" state="hidden" r:id="rId7"/>
    <sheet name="06700260" sheetId="6" state="visible" r:id="rId8"/>
    <sheet name="jgjg" sheetId="7" state="hidden" r:id="rId9"/>
    <sheet name="liste codes réf" sheetId="8" state="hidden" r:id="rId10"/>
  </sheets>
  <definedNames>
    <definedName function="false" hidden="false" localSheetId="5" name="_xlnm.Print_Area" vbProcedure="false">'06700260'!$A$1:$Q$82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'06700260'!$A$1:$Q$82</definedName>
    <definedName function="false" hidden="false" localSheetId="5" name="_xlnm__FilterDatabase" vbProcedure="false">'06700260'!$A$1:$C$1415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8"/>
            <color rgb="FF000000"/>
            <rFont val="Tahoma"/>
            <family val="2"/>
            <charset val="1"/>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justify">
            <anchor moveWithCells="false" sizeWithCells="false">
              <xdr:from>
                <xdr:col>2</xdr:col>
                <xdr:colOff>3</xdr:colOff>
                <xdr:row>0</xdr:row>
                <xdr:rowOff>1</xdr:rowOff>
              </xdr:from>
              <xdr:to>
                <xdr:col>10</xdr:col>
                <xdr:colOff>28</xdr:colOff>
                <xdr:row>3</xdr:row>
                <xdr:rowOff>8</xdr:rowOff>
              </xdr:to>
            </anchor>
          </commentPr>
        </mc:Choice>
        <mc:Fallback/>
      </mc:AlternateContent>
    </comment>
    <comment ref="B5" authorId="0">
      <text>
        <r>
          <rPr>
            <sz val="8"/>
            <color rgb="FF000000"/>
            <rFont val="Tahoma"/>
            <family val="2"/>
            <charset val="1"/>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justify">
            <anchor moveWithCells="false" sizeWithCells="false">
              <xdr:from>
                <xdr:col>2</xdr:col>
                <xdr:colOff>10</xdr:colOff>
                <xdr:row>1</xdr:row>
                <xdr:rowOff>14</xdr:rowOff>
              </xdr:from>
              <xdr:to>
                <xdr:col>7</xdr:col>
                <xdr:colOff>35</xdr:colOff>
                <xdr:row>3</xdr:row>
                <xdr:rowOff>21</xdr:rowOff>
              </xdr:to>
            </anchor>
          </commentPr>
        </mc:Choice>
        <mc:Fallback/>
      </mc:AlternateContent>
    </comment>
    <comment ref="F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7</xdr:col>
                <xdr:colOff>33</xdr:colOff>
                <xdr:row>3</xdr:row>
                <xdr:rowOff>9</xdr:rowOff>
              </xdr:from>
              <xdr:to>
                <xdr:col>11</xdr:col>
                <xdr:colOff>44</xdr:colOff>
                <xdr:row>5</xdr:row>
                <xdr:rowOff>6</xdr:rowOff>
              </xdr:to>
            </anchor>
          </commentPr>
        </mc:Choice>
        <mc:Fallback/>
      </mc:AlternateContent>
    </comment>
    <comment ref="G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8</xdr:col>
                <xdr:colOff>20</xdr:colOff>
                <xdr:row>3</xdr:row>
                <xdr:rowOff>9</xdr:rowOff>
              </xdr:from>
              <xdr:to>
                <xdr:col>12</xdr:col>
                <xdr:colOff>32</xdr:colOff>
                <xdr:row>5</xdr:row>
                <xdr:rowOff>6</xdr:rowOff>
              </xdr:to>
            </anchor>
          </commentPr>
        </mc:Choice>
        <mc:Fallback/>
      </mc:AlternateContent>
    </comment>
    <comment ref="L4" authorId="0">
      <text>
        <r>
          <rPr>
            <sz val="8"/>
            <color rgb="FF000000"/>
            <rFont val="Tahoma"/>
            <family val="2"/>
            <charset val="1"/>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justify">
            <anchor moveWithCells="false" sizeWithCells="false">
              <xdr:from>
                <xdr:col>12</xdr:col>
                <xdr:colOff>109</xdr:colOff>
                <xdr:row>0</xdr:row>
                <xdr:rowOff>20</xdr:rowOff>
              </xdr:from>
              <xdr:to>
                <xdr:col>15</xdr:col>
                <xdr:colOff>46</xdr:colOff>
                <xdr:row>3</xdr:row>
                <xdr:rowOff>22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<sst xmlns="http://schemas.openxmlformats.org/spreadsheetml/2006/main" count="8842" uniqueCount="3497">
  <si>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</si>
  <si>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</si>
  <si>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</si>
  <si>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</si>
  <si>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</si>
  <si>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</si>
  <si>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</si>
  <si>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</si>
  <si>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</si>
  <si>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</si>
  <si>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</si>
  <si>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</si>
  <si>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</si>
  <si>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</si>
  <si>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</si>
  <si>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</si>
  <si>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</si>
  <si>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</si>
  <si>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</si>
  <si>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</si>
  <si>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</si>
  <si>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</si>
  <si>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</si>
  <si>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</si>
  <si>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</si>
  <si>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</si>
  <si>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</si>
  <si>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</si>
  <si>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</si>
  <si>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</si>
  <si>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</si>
  <si>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</si>
  <si>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</si>
  <si>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</si>
  <si>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</si>
  <si>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</si>
  <si>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</si>
  <si>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</si>
  <si>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</si>
  <si>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</si>
  <si>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</si>
  <si>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</si>
  <si>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</si>
  <si>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</si>
  <si>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</si>
  <si>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</si>
  <si>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</si>
  <si>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</si>
  <si>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</si>
  <si>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</si>
  <si>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</si>
  <si>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</si>
  <si>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</si>
  <si>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</si>
  <si>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</si>
  <si>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</si>
  <si>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</si>
  <si>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</si>
  <si>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</si>
  <si>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</si>
  <si>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</si>
  <si>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</si>
  <si>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</si>
  <si>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</si>
  <si>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</si>
  <si>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</si>
  <si>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</si>
  <si>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</si>
  <si>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</si>
  <si>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</si>
  <si>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</si>
  <si>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</si>
  <si>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</si>
  <si>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</si>
  <si>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</si>
  <si>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</si>
  <si>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</si>
  <si>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</si>
  <si>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</si>
  <si>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</si>
  <si>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</si>
  <si>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</si>
  <si>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</si>
  <si>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</si>
  <si>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</si>
  <si>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</si>
  <si>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</si>
  <si>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</si>
  <si>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</si>
  <si>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</si>
  <si>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</si>
  <si>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</si>
  <si>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</si>
  <si>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</si>
  <si>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</si>
  <si>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</si>
  <si>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</si>
  <si>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</si>
  <si>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</si>
  <si>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</si>
  <si>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</si>
  <si>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</si>
  <si>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</si>
  <si>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</si>
  <si>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</si>
  <si>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</si>
  <si>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</si>
  <si>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</si>
  <si>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</si>
  <si>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</si>
  <si>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</si>
  <si>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</si>
  <si>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</si>
  <si>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</si>
  <si>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</si>
  <si>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</si>
  <si>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</si>
  <si>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</si>
  <si>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</si>
  <si>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</si>
  <si>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</si>
  <si>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</si>
  <si>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</si>
  <si>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</si>
  <si>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</si>
  <si>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</si>
  <si>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</si>
  <si>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</si>
  <si>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</si>
  <si>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</si>
  <si>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</si>
  <si>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</si>
  <si>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</si>
  <si>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</si>
  <si>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</si>
  <si>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</si>
  <si>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</si>
  <si>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</si>
  <si>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</si>
  <si>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</si>
  <si>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</si>
  <si>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</si>
  <si>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</si>
  <si>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</si>
  <si>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</si>
  <si>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</si>
  <si>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</si>
  <si>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</si>
  <si>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</si>
  <si>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</si>
  <si>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</si>
  <si>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</si>
  <si>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</si>
  <si>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</si>
  <si>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</si>
  <si>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</si>
  <si>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</si>
  <si>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</si>
  <si>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</si>
  <si>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</si>
  <si>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</si>
  <si>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</si>
  <si>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</si>
  <si>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</si>
  <si>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</si>
  <si>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</si>
  <si>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</si>
  <si>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</si>
  <si>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</si>
  <si>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</si>
  <si>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</si>
  <si>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</si>
  <si>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</si>
  <si>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</si>
  <si>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</si>
  <si>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</si>
  <si>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</si>
  <si>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</si>
  <si>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</si>
  <si>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</si>
  <si>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</si>
  <si>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</si>
  <si>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</si>
  <si>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</si>
  <si>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</si>
  <si>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</si>
  <si>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</si>
  <si>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</si>
  <si>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</si>
  <si>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</si>
  <si>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</si>
  <si>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</si>
  <si>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</si>
  <si>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</si>
  <si>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</si>
  <si>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</si>
  <si>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</si>
  <si>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</si>
  <si>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</si>
  <si>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</si>
  <si>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</si>
  <si>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</si>
  <si>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</si>
  <si>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</si>
  <si>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</si>
  <si>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</si>
  <si>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</si>
  <si>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</si>
  <si>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</si>
  <si>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</si>
  <si>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</si>
  <si>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</si>
  <si>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</si>
  <si>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</si>
  <si>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</si>
  <si>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</si>
  <si>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</si>
  <si>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</si>
  <si>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</si>
  <si>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</si>
  <si>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</si>
  <si>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</si>
  <si>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</si>
  <si>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</si>
  <si>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</si>
  <si>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</si>
  <si>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</si>
  <si>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</si>
  <si>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</si>
  <si>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</si>
  <si>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</si>
  <si>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</si>
  <si>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</si>
  <si>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</si>
  <si>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</si>
  <si>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</si>
  <si>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</si>
  <si>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</si>
  <si>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</si>
  <si>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</si>
  <si>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</si>
  <si>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</si>
  <si>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</si>
  <si>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</si>
  <si>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</si>
  <si>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</si>
  <si>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</si>
  <si>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</si>
  <si>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</si>
  <si>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</si>
  <si>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</si>
  <si>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</si>
  <si>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</si>
  <si>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</si>
  <si>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</si>
  <si>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</si>
  <si>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</si>
  <si>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</si>
  <si>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</si>
  <si>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</si>
  <si>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</si>
  <si>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</si>
  <si>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</si>
  <si>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</si>
  <si>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</si>
  <si>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</si>
  <si>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</si>
  <si>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</si>
  <si>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</si>
  <si>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</si>
  <si>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</si>
  <si>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</si>
  <si>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</si>
  <si>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</si>
  <si>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</si>
  <si>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</si>
  <si>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</si>
  <si>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</si>
  <si>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</si>
  <si>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</si>
  <si>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</si>
  <si>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</si>
  <si>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</si>
  <si>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</si>
  <si>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</si>
  <si>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</si>
  <si>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</si>
  <si>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</si>
  <si>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</si>
  <si>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</si>
  <si>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</si>
  <si>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</si>
  <si>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</si>
  <si>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</si>
  <si>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</si>
  <si>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</si>
  <si>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</si>
  <si>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</si>
  <si>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</si>
  <si>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</si>
  <si>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</si>
  <si>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</si>
  <si>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</si>
  <si>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</si>
  <si>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</si>
  <si>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</si>
  <si>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</si>
  <si>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</si>
  <si>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</si>
  <si>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</si>
  <si>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</si>
  <si>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</si>
  <si>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</si>
  <si>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</si>
  <si>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</si>
  <si>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</si>
  <si>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</si>
  <si>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</si>
  <si>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</si>
  <si>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</si>
  <si>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</si>
  <si>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</si>
  <si>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</si>
  <si>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</si>
  <si>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</si>
  <si>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</si>
  <si>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</si>
  <si>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</si>
  <si>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</si>
  <si>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</si>
  <si>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</si>
  <si>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</si>
  <si>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</si>
  <si>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</si>
  <si>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</si>
  <si>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</si>
  <si>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</si>
  <si>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</si>
  <si>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</si>
  <si>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</si>
  <si>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</si>
  <si>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</si>
  <si>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</si>
  <si>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</si>
  <si>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</si>
  <si>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</si>
  <si>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</si>
  <si>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</si>
  <si>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</si>
  <si>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</si>
  <si>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</si>
  <si>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</si>
  <si>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</si>
  <si>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</si>
  <si>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</si>
  <si>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</si>
  <si>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</si>
  <si>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</si>
  <si>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</si>
  <si>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</si>
  <si>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</si>
  <si>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</si>
  <si>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</si>
  <si>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</si>
  <si>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</si>
  <si>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</si>
  <si>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</si>
  <si>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</si>
  <si>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</si>
  <si>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</si>
  <si>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</si>
  <si>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</si>
  <si>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</si>
  <si>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</si>
  <si>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</si>
  <si>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</si>
  <si>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</si>
  <si>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</si>
  <si>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</si>
  <si>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</si>
  <si>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</si>
  <si>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</si>
  <si>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</si>
  <si>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</si>
  <si>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</si>
  <si>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</si>
  <si>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</si>
  <si>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</si>
  <si>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</si>
  <si>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</si>
  <si>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</si>
  <si>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</si>
  <si>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</si>
  <si>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</si>
  <si>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</si>
  <si>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</si>
  <si>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</si>
  <si>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</si>
  <si>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</si>
  <si>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</si>
  <si>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</si>
  <si>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</si>
  <si>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</si>
  <si>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</si>
  <si>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</si>
  <si>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</si>
  <si>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</si>
  <si>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</si>
  <si>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</si>
  <si>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</si>
  <si>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</si>
  <si>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</si>
  <si>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</si>
  <si>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</si>
  <si>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</si>
  <si>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</si>
  <si>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</si>
  <si>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</si>
  <si>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</si>
  <si>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</si>
  <si>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</si>
  <si>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</si>
  <si>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</si>
  <si>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</si>
  <si>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</si>
  <si>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</si>
  <si>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</si>
  <si>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</si>
  <si>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</si>
  <si>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</si>
  <si>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</si>
  <si>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</si>
  <si>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</si>
  <si>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</si>
  <si>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</si>
  <si>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</si>
  <si>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</si>
  <si>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</si>
  <si>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</si>
  <si>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</si>
  <si>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</si>
  <si>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</si>
  <si>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</si>
  <si>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</si>
  <si>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</si>
  <si>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</si>
  <si>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</si>
  <si>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</si>
  <si>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</si>
  <si>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</si>
  <si>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</si>
  <si>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</si>
  <si>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</si>
  <si>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</si>
  <si>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</si>
  <si>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</si>
  <si>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</si>
  <si>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</si>
  <si>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</si>
  <si>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</si>
  <si>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</si>
  <si>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</si>
  <si>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</si>
  <si>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</si>
  <si>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</si>
  <si>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</si>
  <si>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</si>
  <si>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</si>
  <si>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</si>
  <si>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</si>
  <si>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</si>
  <si>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</si>
  <si>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</si>
  <si>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</si>
  <si>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</si>
  <si>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</si>
  <si>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</si>
  <si>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</si>
  <si>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</si>
  <si>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</si>
  <si>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</si>
  <si>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</si>
  <si>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</si>
  <si>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</si>
  <si>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</si>
  <si>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</si>
  <si>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</si>
  <si>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</si>
  <si>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</si>
  <si>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</si>
  <si>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</si>
  <si>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</si>
  <si>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</si>
  <si>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</si>
  <si>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</si>
  <si>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</si>
  <si>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</si>
  <si>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</si>
  <si>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</si>
  <si>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</si>
  <si>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</si>
  <si>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</si>
  <si>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</si>
  <si>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</si>
  <si>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</si>
  <si>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</si>
  <si>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</si>
  <si>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</si>
  <si>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</si>
  <si>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</si>
  <si>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</si>
  <si>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</si>
  <si>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</si>
  <si>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</si>
  <si>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</si>
  <si>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</si>
  <si>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</si>
  <si>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</si>
  <si>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</si>
  <si>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</si>
  <si>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</si>
  <si>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</si>
  <si>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</si>
  <si>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</si>
  <si>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</si>
  <si>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</si>
  <si>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</si>
  <si>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</si>
  <si>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</si>
  <si>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</si>
  <si>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</si>
  <si>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</si>
  <si>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</si>
  <si>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</si>
  <si>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</si>
  <si>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</si>
  <si>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</si>
  <si>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</si>
  <si>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</si>
  <si>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</si>
  <si>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</si>
  <si>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</si>
  <si>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</si>
  <si>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</si>
  <si>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</si>
  <si>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</si>
  <si>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</si>
  <si>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</si>
  <si>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</si>
  <si>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</si>
  <si>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</si>
  <si>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</si>
  <si>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</si>
  <si>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</si>
  <si>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</si>
  <si>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</si>
  <si>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</si>
  <si>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</si>
  <si>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</si>
  <si>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</si>
  <si>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</si>
  <si>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</si>
  <si>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</si>
  <si>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</si>
  <si>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</si>
  <si>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</si>
  <si>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</si>
  <si>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</si>
  <si>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</si>
  <si>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</si>
  <si>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</si>
  <si>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</si>
  <si>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</si>
  <si>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</si>
  <si>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</si>
  <si>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</si>
  <si>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</si>
  <si>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</si>
  <si>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</si>
  <si>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</si>
  <si>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</si>
  <si>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</si>
  <si>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</si>
  <si>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</si>
  <si>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</si>
  <si>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</si>
  <si>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</si>
  <si>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</si>
  <si>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</si>
  <si>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</si>
  <si>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</si>
  <si>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</si>
  <si>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</si>
  <si>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</si>
  <si>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</si>
  <si>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</si>
  <si>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</si>
  <si>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</si>
  <si>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</si>
  <si>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</si>
  <si>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</si>
  <si>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</si>
  <si>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</si>
  <si>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</si>
  <si>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</si>
  <si>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</si>
  <si>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</si>
  <si>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</si>
  <si>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</si>
  <si>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</si>
  <si>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</si>
  <si>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</si>
  <si>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</si>
  <si>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</si>
  <si>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</si>
  <si>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</si>
  <si>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</si>
  <si>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</si>
  <si>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</si>
  <si>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</si>
  <si>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</si>
  <si>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</si>
  <si>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</si>
  <si>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</si>
  <si>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</si>
  <si>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</si>
  <si>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</si>
  <si>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</si>
  <si>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</si>
  <si>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</si>
  <si>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</si>
  <si>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</si>
  <si>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</si>
  <si>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</si>
  <si>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</si>
  <si>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</si>
  <si>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</si>
  <si>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</si>
  <si>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</si>
  <si>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</si>
  <si>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</si>
  <si>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</si>
  <si>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</si>
  <si>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</si>
  <si>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</si>
  <si>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</si>
  <si>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</si>
  <si>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</si>
  <si>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</si>
  <si>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</si>
  <si>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</si>
  <si>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</si>
  <si>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</si>
  <si>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</si>
  <si>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</si>
  <si>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</si>
  <si>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</si>
  <si>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</si>
  <si>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</si>
  <si>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</si>
  <si>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</si>
  <si>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</si>
  <si>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</si>
  <si>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</si>
  <si>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</si>
  <si>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</si>
  <si>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</si>
  <si>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</si>
  <si>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</si>
  <si>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</si>
  <si>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</si>
  <si>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</si>
  <si>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</si>
  <si>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</si>
  <si>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</si>
  <si>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</si>
  <si>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</si>
  <si>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</si>
  <si>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</si>
  <si>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</si>
  <si>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</si>
  <si>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</si>
  <si>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</si>
  <si>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</si>
  <si>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</si>
  <si>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</si>
  <si>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</si>
  <si>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</si>
  <si>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</si>
  <si>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</si>
  <si>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</si>
  <si>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</si>
  <si>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</si>
  <si>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</si>
  <si>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</si>
  <si>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</si>
  <si>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</si>
  <si>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</si>
  <si>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</si>
  <si>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</si>
  <si>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</si>
  <si>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</si>
  <si>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</si>
  <si>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</si>
  <si>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</si>
  <si>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</si>
  <si>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</si>
  <si>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</si>
  <si>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</si>
  <si>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</si>
  <si>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</si>
  <si>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</si>
  <si>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</si>
  <si>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</si>
  <si>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</si>
  <si>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</si>
  <si>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</si>
  <si>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</si>
  <si>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</si>
  <si>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</si>
  <si>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</si>
  <si>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</si>
  <si>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</si>
  <si>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</si>
  <si>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</si>
  <si>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</si>
  <si>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</si>
  <si>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</si>
  <si>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</si>
  <si>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</si>
  <si>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</si>
  <si>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</si>
  <si>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</si>
  <si>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</si>
  <si>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</si>
  <si>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</si>
  <si>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</si>
  <si>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</si>
  <si>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</si>
  <si>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</si>
  <si>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</si>
  <si>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</si>
  <si>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</si>
  <si>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</si>
  <si>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</si>
  <si>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</si>
  <si>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</si>
  <si>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</si>
  <si>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</si>
  <si>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</si>
  <si>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</si>
  <si>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</si>
  <si>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</si>
  <si>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</si>
  <si>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</si>
  <si>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</si>
  <si>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</si>
  <si>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</si>
  <si>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</si>
  <si>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</si>
  <si>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</si>
  <si>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</si>
  <si>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</si>
  <si>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</si>
  <si>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</si>
  <si>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</si>
  <si>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</si>
  <si>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</si>
  <si>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</si>
  <si>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</si>
  <si>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</si>
  <si>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</si>
  <si>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</si>
  <si>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</si>
  <si>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</si>
  <si>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</si>
  <si>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</si>
  <si>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</si>
  <si>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</si>
  <si>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</si>
  <si>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</si>
  <si>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</si>
  <si>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</si>
  <si>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</si>
  <si>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</si>
  <si>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</si>
  <si>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</si>
  <si>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</si>
  <si>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</si>
  <si>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</si>
  <si>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</si>
  <si>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</si>
  <si>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</si>
  <si>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</si>
  <si>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</si>
  <si>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</si>
  <si>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</si>
  <si>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</si>
  <si>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</si>
  <si>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</si>
  <si>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</si>
  <si>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</si>
  <si>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</si>
  <si>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</si>
  <si>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</si>
  <si>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</si>
  <si>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</si>
  <si>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</si>
  <si>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</si>
  <si>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</si>
  <si>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</si>
  <si>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</si>
  <si>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</si>
  <si>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</si>
  <si>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</si>
  <si>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</si>
  <si>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</si>
  <si>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</si>
  <si>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</si>
  <si>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</si>
  <si>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</si>
  <si>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</si>
  <si>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</si>
  <si>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</si>
  <si>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</si>
  <si>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</si>
  <si>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</si>
  <si>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</si>
  <si>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</si>
  <si>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</si>
  <si>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</si>
  <si>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</si>
  <si>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</si>
  <si>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</si>
  <si>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</si>
  <si>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</si>
  <si>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</si>
  <si>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</si>
  <si>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</si>
  <si>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</si>
  <si>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</si>
  <si>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</si>
  <si>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</si>
  <si>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</si>
  <si>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</si>
  <si>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</si>
  <si>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</si>
  <si>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</si>
  <si>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</si>
  <si>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</si>
  <si>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</si>
  <si>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</si>
  <si>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</si>
  <si>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</si>
  <si>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</si>
  <si>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</si>
  <si>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</si>
  <si>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</si>
  <si>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</si>
  <si>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</si>
  <si>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</si>
  <si>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</si>
  <si>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</si>
  <si>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</si>
  <si>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</si>
  <si>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</si>
  <si>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</si>
  <si>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</si>
  <si>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</si>
  <si>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</si>
  <si>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</si>
  <si>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</si>
  <si>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</si>
  <si>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</si>
  <si>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</si>
  <si>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</si>
  <si>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</si>
  <si>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</si>
  <si>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</si>
  <si>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</si>
  <si>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</si>
  <si>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</si>
  <si>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</si>
  <si>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</si>
  <si>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</si>
  <si>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</si>
  <si>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</si>
  <si>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</si>
  <si>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</si>
  <si>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</si>
  <si>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</si>
  <si>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</si>
  <si>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</si>
  <si>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</si>
  <si>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</si>
  <si>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</si>
  <si>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</si>
  <si>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</si>
  <si>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</si>
  <si>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</si>
  <si>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</si>
  <si>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</si>
  <si>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</si>
  <si>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</si>
  <si>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</si>
  <si>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</si>
  <si>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</si>
  <si>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</si>
  <si>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</si>
  <si>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</si>
  <si>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</si>
  <si>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</si>
  <si>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</si>
  <si>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</si>
  <si>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</si>
  <si>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</si>
  <si>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</si>
  <si>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</si>
  <si>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</si>
  <si>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</si>
  <si>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</si>
  <si>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</si>
  <si>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</si>
  <si>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</si>
  <si>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</si>
  <si>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</si>
  <si>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</si>
  <si>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</si>
  <si>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</si>
  <si>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</si>
  <si>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</si>
  <si>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</si>
  <si>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</si>
  <si>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</si>
  <si>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</si>
  <si>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</si>
  <si>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</si>
  <si>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</si>
  <si>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</si>
  <si>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</si>
  <si>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</si>
  <si>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</si>
  <si>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</si>
  <si>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</si>
  <si>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</si>
  <si>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</si>
  <si>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</si>
  <si>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</si>
  <si>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</si>
  <si>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</si>
  <si>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</si>
  <si>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</si>
  <si>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</si>
  <si>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</si>
  <si>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</si>
  <si>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</si>
  <si>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</si>
  <si>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</si>
  <si>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</si>
  <si>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</si>
  <si>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</si>
  <si>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</si>
  <si>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</si>
  <si>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</si>
  <si>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</si>
  <si>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</si>
  <si>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</si>
  <si>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</si>
  <si>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</si>
  <si>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</si>
  <si>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</si>
  <si>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</si>
  <si>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</si>
  <si>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</si>
  <si>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</si>
  <si>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</si>
  <si>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</si>
  <si>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</si>
  <si>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</si>
  <si>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</si>
  <si>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</si>
  <si>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</si>
  <si>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</si>
  <si>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</si>
  <si>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</si>
  <si>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</si>
  <si>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</si>
  <si>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</si>
  <si>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</si>
  <si>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</si>
  <si>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</si>
  <si>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</si>
  <si>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</si>
  <si>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</si>
  <si>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</si>
  <si>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</si>
  <si>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</si>
  <si>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</si>
  <si>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</si>
  <si>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</si>
  <si>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</si>
  <si>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</si>
  <si>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</si>
  <si>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</si>
  <si>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</si>
  <si>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</si>
  <si>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</si>
  <si>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</si>
  <si>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</si>
  <si>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</si>
  <si>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</si>
  <si>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</si>
  <si>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</si>
  <si>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</si>
  <si>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</si>
  <si>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</si>
  <si>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</si>
  <si>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</si>
  <si>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</si>
  <si>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</si>
  <si>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</si>
  <si>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</si>
  <si>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</si>
  <si>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</si>
  <si>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</si>
  <si>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</si>
  <si>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</si>
  <si>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</si>
  <si>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</si>
  <si>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</si>
  <si>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</si>
  <si>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</si>
  <si>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</si>
  <si>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</si>
  <si>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</si>
  <si>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</si>
  <si>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</si>
  <si>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</si>
  <si>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</si>
  <si>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</si>
  <si>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</si>
  <si>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</si>
  <si>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</si>
  <si>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</si>
  <si>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</si>
  <si>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</si>
  <si>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</si>
  <si>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</si>
  <si>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</si>
  <si>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</si>
  <si>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</si>
  <si>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</si>
  <si>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</si>
  <si>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</si>
  <si>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</si>
  <si>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</si>
  <si>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</si>
  <si>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</si>
  <si>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</si>
  <si>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</si>
  <si>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</si>
  <si>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</si>
  <si>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</si>
  <si>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</si>
  <si>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</si>
  <si>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</si>
  <si>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</si>
  <si>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</si>
  <si>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</si>
  <si>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</si>
  <si>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</si>
  <si>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</si>
  <si>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</si>
  <si>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</si>
  <si>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</si>
  <si>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</si>
  <si>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</si>
  <si>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</si>
  <si>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</si>
  <si>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</si>
  <si>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</si>
  <si>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</si>
  <si>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</si>
  <si>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</si>
  <si>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</si>
  <si>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</si>
  <si>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</si>
  <si>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</si>
  <si>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</si>
  <si>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</si>
  <si>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</si>
  <si>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</si>
  <si>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</si>
  <si>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</si>
  <si>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</si>
  <si>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</si>
  <si>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</si>
  <si>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</si>
  <si>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</si>
  <si>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</si>
  <si>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</si>
  <si>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</si>
  <si>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</si>
  <si>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</si>
  <si>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</si>
  <si>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</si>
  <si>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</si>
  <si>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</si>
  <si>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</si>
  <si>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</si>
  <si>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</si>
  <si>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</si>
  <si>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</si>
  <si>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</si>
  <si>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</si>
  <si>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</si>
  <si>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</si>
  <si>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</si>
  <si>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</si>
  <si>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</si>
  <si>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</si>
  <si>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</si>
  <si>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</si>
  <si>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</si>
  <si>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</si>
  <si>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</si>
  <si>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</si>
  <si>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</si>
  <si>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</si>
  <si>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</si>
  <si>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</si>
  <si>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</si>
  <si>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</si>
  <si>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</si>
  <si>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</si>
  <si>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</si>
  <si>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</si>
  <si>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</si>
  <si>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</si>
  <si>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</si>
  <si>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</si>
  <si>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</si>
  <si>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</si>
  <si>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</si>
  <si>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</si>
  <si>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</si>
  <si>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</si>
  <si>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</si>
  <si>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</si>
  <si>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</si>
  <si>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</si>
  <si>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</si>
  <si>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</si>
  <si>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</si>
  <si>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</si>
  <si>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</si>
  <si>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</si>
  <si>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</si>
  <si>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</si>
  <si>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</si>
  <si>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</si>
  <si>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</si>
  <si>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</si>
  <si>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</si>
  <si>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</si>
  <si>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</si>
  <si>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</si>
  <si>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</si>
  <si>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</si>
  <si>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</si>
  <si>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</si>
  <si>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</si>
  <si>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</si>
  <si>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</si>
  <si>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</si>
  <si>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</si>
  <si>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</si>
  <si>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</si>
  <si>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</si>
  <si>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</si>
  <si>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</si>
  <si>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</si>
  <si>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</si>
  <si>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</si>
  <si>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</si>
  <si>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</si>
  <si>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</si>
  <si>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</si>
  <si>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</si>
  <si>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</si>
  <si>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</si>
  <si>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</si>
  <si>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</si>
  <si>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</si>
  <si>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</si>
  <si>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</si>
  <si>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</si>
  <si>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</si>
  <si>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</si>
  <si>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</si>
  <si>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</si>
  <si>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</si>
  <si>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</si>
  <si>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</si>
  <si>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</si>
  <si>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</si>
  <si>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</si>
  <si>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</si>
  <si>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</si>
  <si>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</si>
  <si>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</si>
  <si>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</si>
  <si>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</si>
  <si>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</si>
  <si>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</si>
  <si>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</si>
  <si>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</si>
  <si>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</si>
  <si>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</si>
  <si>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</si>
  <si>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</si>
  <si>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</si>
  <si>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</si>
  <si>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</si>
  <si>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</si>
  <si>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</si>
  <si>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</si>
  <si>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</si>
  <si>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</si>
  <si>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</si>
  <si>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</si>
  <si>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</si>
  <si>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</si>
  <si>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</si>
  <si>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</si>
  <si>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</si>
  <si>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</si>
  <si>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</si>
  <si>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</si>
  <si>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</si>
  <si>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</si>
  <si>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</si>
  <si>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</si>
  <si>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</si>
  <si>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</si>
  <si>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</si>
  <si>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</si>
  <si>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</si>
  <si>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</si>
  <si>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</si>
  <si>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</si>
  <si>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</si>
  <si>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</si>
  <si>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</si>
  <si>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</si>
  <si>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</si>
  <si>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</si>
  <si>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</si>
  <si>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</si>
  <si>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</si>
  <si>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</si>
  <si>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</si>
  <si>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</si>
  <si>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</si>
  <si>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</si>
  <si>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</si>
  <si>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</si>
  <si>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</si>
  <si>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</si>
  <si>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</si>
  <si>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</si>
  <si>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</si>
  <si>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</si>
  <si>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</si>
  <si>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</si>
  <si>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</si>
  <si>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</si>
  <si>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</si>
  <si>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</si>
  <si>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</si>
  <si>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</si>
  <si>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</si>
  <si>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</si>
  <si>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</si>
  <si>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</si>
  <si>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</si>
  <si>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</si>
  <si>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</si>
  <si>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</si>
  <si>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</si>
  <si>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</si>
  <si>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</si>
  <si>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</si>
  <si>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</si>
  <si>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</si>
  <si>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</si>
  <si>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</si>
  <si>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</si>
  <si>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</si>
  <si>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</si>
  <si>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</si>
  <si>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</si>
  <si>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</si>
  <si>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</si>
  <si>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</si>
  <si>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</si>
  <si>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</si>
  <si>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</si>
  <si>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</si>
  <si>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</si>
  <si>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</si>
  <si>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</si>
  <si>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</si>
  <si>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</si>
  <si>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</si>
  <si>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</si>
  <si>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</si>
  <si>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</si>
  <si>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</si>
  <si>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</si>
  <si>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</si>
  <si>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</si>
  <si>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</si>
  <si>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</si>
  <si>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</si>
  <si>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</si>
  <si>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</si>
  <si>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</si>
  <si>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</si>
  <si>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</si>
  <si>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</si>
  <si>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</si>
  <si>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</si>
  <si>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</si>
  <si>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</si>
  <si>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</si>
  <si>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</si>
  <si>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</si>
  <si>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</si>
  <si>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</si>
  <si>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</si>
  <si>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</si>
  <si>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</si>
  <si>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</si>
  <si>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</si>
  <si>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</si>
  <si>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</si>
  <si>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</si>
  <si>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</si>
  <si>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</si>
  <si>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</si>
  <si>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</si>
  <si>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</si>
  <si>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</si>
  <si>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</si>
  <si>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</si>
  <si>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</si>
  <si>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</si>
  <si>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</si>
  <si>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</si>
  <si>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</si>
  <si>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</si>
  <si>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</si>
  <si>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</si>
  <si>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</si>
  <si>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</si>
  <si>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</si>
  <si>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</si>
  <si>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</si>
  <si>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</si>
  <si>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</si>
  <si>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</si>
  <si>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</si>
  <si>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</si>
  <si>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</si>
  <si>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</si>
  <si>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</si>
  <si>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</si>
  <si>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</si>
  <si>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</si>
  <si>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</si>
  <si>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</si>
  <si>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</si>
  <si>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</si>
  <si>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</si>
  <si>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</si>
  <si>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</si>
  <si>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</si>
  <si>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</si>
  <si>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</si>
  <si>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</si>
  <si>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</si>
  <si>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</si>
  <si>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</si>
  <si>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</si>
  <si>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</si>
  <si>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</si>
  <si>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</si>
  <si>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</si>
  <si>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</si>
  <si>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</si>
  <si>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</si>
  <si>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</si>
  <si>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</si>
  <si>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</si>
  <si>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</si>
  <si>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</si>
  <si>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</si>
  <si>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</si>
  <si>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</si>
  <si>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</si>
  <si>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</si>
  <si>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</si>
  <si>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</si>
  <si>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</si>
  <si>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</si>
  <si>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</si>
  <si>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</si>
  <si>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</si>
  <si>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</si>
  <si>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</si>
  <si>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</si>
  <si>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</si>
  <si>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</si>
  <si>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</si>
  <si>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</si>
  <si>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</si>
  <si>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</si>
  <si>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</si>
  <si>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</si>
  <si>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</si>
  <si>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</si>
  <si>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</si>
  <si>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</si>
  <si>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</si>
  <si>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</si>
  <si>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</si>
  <si>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</si>
  <si>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</si>
  <si>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</si>
  <si>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</si>
  <si>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</si>
  <si>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</si>
  <si>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</si>
  <si>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</si>
  <si>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</si>
  <si>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</si>
  <si>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</si>
  <si>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</si>
  <si>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</si>
  <si>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</si>
  <si>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</si>
  <si>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</si>
  <si>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</si>
  <si>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</si>
  <si>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</si>
  <si>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</si>
  <si>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</si>
  <si>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</si>
  <si>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</si>
  <si>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</si>
  <si>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</si>
  <si>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</si>
  <si>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</si>
  <si>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</si>
  <si>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</si>
  <si>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</si>
  <si>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</si>
  <si>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</si>
  <si>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</si>
  <si>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</si>
  <si>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</si>
  <si>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</si>
  <si>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</si>
  <si>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</si>
  <si>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</si>
  <si>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</si>
  <si>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</si>
  <si>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</si>
  <si>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</si>
  <si>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</si>
  <si>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</si>
  <si>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</si>
  <si>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</si>
  <si>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</si>
  <si>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</si>
  <si>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</si>
  <si>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</si>
  <si>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</si>
  <si>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</si>
  <si>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</si>
  <si>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</si>
  <si>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</si>
  <si>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</si>
  <si>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</si>
  <si>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</si>
  <si>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</si>
  <si>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</si>
  <si>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</si>
  <si>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</si>
  <si>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</si>
  <si>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</si>
  <si>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</si>
  <si>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</si>
  <si>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</si>
  <si>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</si>
  <si>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</si>
  <si>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</si>
  <si>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</si>
  <si>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</si>
  <si>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</si>
  <si>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</si>
  <si>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</si>
  <si>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</si>
  <si>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</si>
  <si>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</si>
  <si>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</si>
  <si>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</si>
  <si>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</si>
  <si>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</si>
  <si>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</si>
  <si>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</si>
  <si>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</si>
  <si>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</si>
  <si>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</si>
  <si>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</si>
  <si>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</si>
  <si>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</si>
  <si>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</si>
  <si>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</si>
  <si>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</si>
  <si>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</si>
  <si>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</si>
  <si>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</si>
  <si>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</si>
  <si>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</si>
  <si>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</si>
  <si>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</si>
  <si>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</si>
  <si>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</si>
  <si>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</si>
  <si>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</si>
  <si>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</si>
  <si>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</si>
  <si>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</si>
  <si>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</si>
  <si>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</si>
  <si>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</si>
  <si>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</si>
  <si>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</si>
  <si>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</si>
  <si>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</si>
  <si>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</si>
  <si>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</si>
  <si>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</si>
  <si>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</si>
  <si>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</si>
  <si>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</si>
  <si>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</si>
  <si>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</si>
  <si>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</si>
  <si>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</si>
  <si>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</si>
  <si>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</si>
  <si>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</si>
  <si>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</si>
  <si>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</si>
  <si>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</si>
  <si>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</si>
  <si>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</si>
  <si>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</si>
  <si>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</si>
  <si>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</si>
  <si>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</si>
  <si>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</si>
  <si>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</si>
  <si>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</si>
  <si>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</si>
  <si>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</si>
  <si>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</si>
  <si>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</si>
  <si>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</si>
  <si>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</si>
  <si>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</si>
  <si>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</si>
  <si>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</si>
  <si>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</si>
  <si>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</si>
  <si>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</si>
  <si>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</si>
  <si>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</si>
  <si>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</si>
  <si>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</si>
  <si>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</si>
  <si>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</si>
  <si>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</si>
  <si>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</si>
  <si>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</si>
  <si>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</si>
  <si>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</si>
  <si>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</si>
  <si>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</si>
  <si>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</si>
  <si>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</si>
  <si>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</si>
  <si>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</si>
  <si>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</si>
  <si>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</si>
  <si>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</si>
  <si>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</si>
  <si>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</si>
  <si>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</si>
  <si>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</si>
  <si>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</si>
  <si>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</si>
  <si>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</si>
  <si>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</si>
  <si>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</si>
  <si>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</si>
  <si>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</si>
  <si>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</si>
  <si>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</si>
  <si>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</si>
  <si>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</si>
  <si>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</si>
  <si>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</si>
  <si>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</si>
  <si>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</si>
  <si>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</si>
  <si>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</si>
  <si>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</si>
  <si>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</si>
  <si>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</si>
  <si>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</si>
  <si>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</si>
  <si>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</si>
  <si>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</si>
  <si>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</si>
  <si>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</si>
  <si>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</si>
  <si>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</si>
  <si>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</si>
  <si>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</si>
  <si>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</si>
  <si>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</si>
  <si>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</si>
  <si>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</si>
  <si>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</si>
  <si>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</si>
  <si>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</si>
  <si>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</si>
  <si>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</si>
  <si>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</si>
  <si>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</si>
  <si>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</si>
  <si>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</si>
  <si>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</si>
  <si>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</si>
  <si>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</si>
  <si>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</si>
  <si>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</si>
  <si>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</si>
  <si>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</si>
  <si>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</si>
  <si>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</si>
  <si>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</si>
  <si>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</si>
  <si>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</si>
  <si>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</si>
  <si>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</si>
  <si>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</si>
  <si>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</si>
  <si>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</si>
  <si>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</si>
  <si>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</si>
  <si>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</si>
  <si>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</si>
  <si>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</si>
  <si>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</si>
  <si>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</si>
  <si>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</si>
  <si>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</si>
  <si>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</si>
  <si>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</si>
  <si>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</si>
  <si>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</si>
  <si>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</si>
  <si>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</si>
  <si>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</si>
  <si>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</si>
  <si>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</si>
  <si>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</si>
  <si>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</si>
  <si>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</si>
  <si>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</si>
  <si>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</si>
  <si>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</si>
  <si>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</si>
  <si>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</si>
  <si>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</si>
  <si>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</si>
  <si>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</si>
  <si>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</si>
  <si>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</si>
  <si>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</si>
  <si>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</si>
  <si>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</si>
  <si>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</si>
  <si>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</si>
  <si>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</si>
  <si>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</si>
  <si>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</si>
  <si>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</si>
  <si>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</si>
  <si>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</si>
  <si>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</si>
  <si>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</si>
  <si>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</si>
  <si>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</si>
  <si>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</si>
  <si>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</si>
  <si>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</si>
  <si>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</si>
  <si>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</si>
  <si>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</si>
  <si>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</si>
  <si>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</si>
  <si>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</si>
  <si>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</si>
  <si>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</si>
  <si>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</si>
  <si>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</si>
  <si>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</si>
  <si>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</si>
  <si>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</si>
  <si>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</si>
  <si>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</si>
  <si>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</si>
  <si>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</si>
  <si>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</si>
  <si>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</si>
  <si>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</si>
  <si>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</si>
  <si>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</si>
  <si>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</si>
  <si>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</si>
  <si>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</si>
  <si>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</si>
  <si>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</si>
  <si>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</si>
  <si>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</si>
  <si>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</si>
  <si>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</si>
  <si>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</si>
  <si>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</si>
  <si>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</si>
  <si>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</si>
  <si>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</si>
  <si>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</si>
  <si>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</si>
  <si>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</si>
  <si>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</si>
  <si>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</si>
  <si>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</si>
  <si>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</si>
  <si>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</si>
  <si>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</si>
  <si>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</si>
  <si>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</si>
  <si>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</si>
  <si>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</si>
  <si>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</si>
  <si>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</si>
  <si>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</si>
  <si>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</si>
  <si>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</si>
  <si>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</si>
  <si>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</si>
  <si>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</si>
  <si>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</si>
  <si>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</si>
  <si>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</si>
  <si>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</si>
  <si>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</si>
  <si>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</si>
  <si>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</si>
  <si>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</si>
  <si>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</si>
  <si>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</si>
  <si>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</si>
  <si>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</si>
  <si>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</si>
  <si>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</si>
  <si>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</si>
  <si>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</si>
  <si>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</si>
  <si>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</si>
  <si>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</si>
  <si>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</si>
  <si>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</si>
  <si>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</si>
  <si>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</si>
  <si>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</si>
  <si>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</si>
  <si>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</si>
  <si>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</si>
  <si>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</si>
  <si>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</si>
  <si>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</si>
  <si>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</si>
  <si>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</si>
  <si>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</si>
  <si>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</si>
  <si>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</si>
  <si>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</si>
  <si>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</si>
  <si>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</si>
  <si>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</si>
  <si>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</si>
  <si>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</si>
  <si>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</si>
  <si>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</si>
  <si>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</si>
  <si>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</si>
  <si>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</si>
  <si>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</si>
  <si>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</si>
  <si>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</si>
  <si>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</si>
  <si>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</si>
  <si>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</si>
  <si>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</si>
  <si>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</si>
  <si>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</si>
  <si>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</si>
  <si>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</si>
  <si>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</si>
  <si>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</si>
  <si>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</si>
  <si>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</si>
  <si>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</si>
  <si>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</si>
  <si>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</si>
  <si>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</si>
  <si>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</si>
  <si>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</si>
  <si>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</si>
  <si>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</si>
  <si>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</si>
  <si>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</si>
  <si>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</si>
  <si>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</si>
  <si>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</si>
  <si>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</si>
  <si>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</si>
  <si>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</si>
  <si>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</si>
  <si>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</si>
  <si>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</si>
  <si>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</si>
  <si>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</si>
  <si>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</si>
  <si>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</si>
  <si>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</si>
  <si>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</si>
  <si>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</si>
  <si>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</si>
  <si>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</si>
  <si>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</si>
  <si>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</si>
  <si>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</si>
  <si>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</si>
  <si>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</si>
  <si>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</si>
  <si>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</si>
  <si>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</si>
  <si>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</si>
  <si>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</si>
  <si>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</si>
  <si>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</si>
  <si>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</si>
  <si>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</si>
  <si>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</si>
  <si>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</si>
  <si>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</si>
  <si>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</si>
  <si>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</si>
  <si>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</si>
  <si>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</si>
  <si>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</si>
  <si>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</si>
  <si>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</si>
  <si>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</si>
  <si>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</si>
  <si>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</si>
  <si>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</si>
  <si>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</si>
  <si>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</si>
  <si>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</si>
  <si>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</si>
  <si>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</si>
  <si>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</si>
  <si>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</si>
  <si>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</si>
  <si>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</si>
  <si>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</si>
  <si>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</si>
  <si>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</si>
  <si>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</si>
  <si>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</si>
  <si>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</si>
  <si>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</si>
  <si>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</si>
  <si>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</si>
  <si>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</si>
  <si>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</si>
  <si>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</si>
  <si>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</si>
  <si>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</si>
  <si>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</si>
  <si>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</si>
  <si>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</si>
  <si>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</si>
  <si>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</si>
  <si>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</si>
  <si>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</si>
  <si>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</si>
  <si>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</si>
  <si>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</si>
  <si>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</si>
  <si>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</si>
  <si>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</si>
  <si>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</si>
  <si>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</si>
  <si>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</si>
  <si>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</si>
  <si>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</si>
  <si>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</si>
  <si>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</si>
  <si>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</si>
  <si>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</si>
  <si>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</si>
  <si>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</si>
  <si>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</si>
  <si>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</si>
  <si>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</si>
  <si>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</si>
  <si>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</si>
  <si>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</si>
  <si>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</si>
  <si>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</si>
  <si>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</si>
  <si>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</si>
  <si>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</si>
  <si>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</si>
  <si>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</si>
  <si>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</si>
  <si>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</si>
  <si>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</si>
  <si>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</si>
  <si>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</si>
  <si>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</si>
  <si>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</si>
  <si>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</si>
  <si>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</si>
  <si>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</si>
  <si>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</si>
  <si>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</si>
  <si>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</si>
  <si>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</si>
  <si>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</si>
  <si>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</si>
  <si>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</si>
  <si>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</si>
  <si>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</si>
  <si>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</si>
  <si>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</si>
  <si>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</si>
  <si>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</si>
  <si>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</si>
  <si>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</si>
  <si>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</si>
  <si>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</si>
  <si>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</si>
  <si>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</si>
  <si>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</si>
  <si>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</si>
  <si>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</si>
  <si>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</si>
  <si>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</si>
  <si>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</si>
  <si>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</si>
  <si>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</si>
  <si>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</si>
  <si>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</si>
  <si>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</si>
  <si>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</si>
  <si>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</si>
  <si>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</si>
  <si>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</si>
  <si>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</si>
  <si>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</si>
  <si>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</si>
  <si>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</si>
  <si>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</si>
  <si>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</si>
  <si>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</si>
  <si>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</si>
  <si>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</si>
  <si>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</si>
  <si>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</si>
  <si>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</si>
  <si>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</si>
  <si>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</si>
  <si>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</si>
  <si>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</si>
  <si>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</si>
  <si>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</si>
  <si>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</si>
  <si>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</si>
  <si>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</si>
  <si>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</si>
  <si>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</si>
  <si>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</si>
  <si>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</si>
  <si>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</si>
  <si>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</si>
  <si>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</si>
  <si>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</si>
  <si>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</si>
  <si>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</si>
  <si>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</si>
  <si>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</si>
  <si>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</si>
  <si>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</si>
  <si>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</si>
  <si>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</si>
  <si>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</si>
  <si>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</si>
  <si>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</si>
  <si>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</si>
  <si>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</si>
  <si>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</si>
  <si>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</si>
  <si>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</si>
  <si>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</si>
  <si>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</si>
  <si>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</si>
  <si>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</si>
  <si>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</si>
  <si>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</si>
  <si>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</si>
  <si>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</si>
  <si>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</si>
  <si>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</si>
  <si>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</si>
  <si>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</si>
  <si>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</si>
  <si>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</si>
  <si>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</si>
  <si>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</si>
  <si>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</si>
  <si>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</si>
  <si>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</si>
  <si>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</si>
  <si>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</si>
  <si>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</si>
  <si>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</si>
  <si>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</si>
  <si>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</si>
  <si>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</si>
  <si>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</si>
  <si>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</si>
  <si>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</si>
  <si>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</si>
  <si>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</si>
  <si>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</si>
  <si>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</si>
  <si>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</si>
  <si>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</si>
  <si>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</si>
  <si>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</si>
  <si>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</si>
  <si>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</si>
  <si>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</si>
  <si>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</si>
  <si>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</si>
  <si>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</si>
  <si>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</si>
  <si>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</si>
  <si>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</si>
  <si>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</si>
  <si>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</si>
  <si>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</si>
  <si>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</si>
  <si>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</si>
  <si>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</si>
  <si>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</si>
  <si>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</si>
  <si>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</si>
  <si>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</si>
  <si>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</si>
  <si>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</si>
  <si>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</si>
  <si>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</si>
  <si>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</si>
  <si>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</si>
  <si>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</si>
  <si>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</si>
  <si>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</si>
  <si>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</si>
  <si>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</si>
  <si>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</si>
  <si>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</si>
  <si>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</si>
  <si>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</si>
  <si>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</si>
  <si>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</si>
  <si>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</si>
  <si>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</si>
  <si>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</si>
  <si>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</si>
  <si>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</si>
  <si>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</si>
  <si>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</si>
  <si>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</si>
  <si>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</si>
  <si>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</si>
  <si>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</si>
  <si>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</si>
  <si>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</si>
  <si>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</si>
  <si>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</si>
  <si>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</si>
  <si>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</si>
  <si>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</si>
  <si>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</si>
  <si>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</si>
  <si>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</si>
  <si>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</si>
  <si>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</si>
  <si>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</si>
  <si>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</si>
  <si>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</si>
  <si>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</si>
  <si>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</si>
  <si>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</si>
  <si>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</si>
  <si>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</si>
  <si>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</si>
  <si>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</si>
  <si>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</si>
  <si>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</si>
  <si>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</si>
  <si>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</si>
  <si>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</si>
  <si>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</si>
  <si>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</si>
  <si>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</si>
  <si>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</si>
  <si>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</si>
  <si>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</si>
  <si>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</si>
  <si>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</si>
  <si>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</si>
  <si>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</si>
  <si>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</si>
  <si>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</si>
  <si>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</si>
  <si>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</si>
  <si>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</si>
  <si>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</si>
  <si>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</si>
  <si>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</si>
  <si>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</si>
  <si>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</si>
  <si>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</si>
  <si>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</si>
  <si>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</si>
  <si>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</si>
  <si>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</si>
  <si>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</si>
  <si>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</si>
  <si>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</si>
  <si>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</si>
  <si>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</si>
  <si>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</si>
  <si>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</si>
  <si>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</si>
  <si>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</si>
  <si>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</si>
  <si>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</si>
  <si>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</si>
  <si>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</si>
  <si>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</si>
  <si>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</si>
  <si>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</si>
  <si>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</si>
  <si>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</si>
  <si>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</si>
  <si>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</si>
  <si>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</si>
  <si>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</si>
  <si>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</si>
  <si>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</si>
  <si>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</si>
  <si>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</si>
  <si>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</si>
  <si>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</si>
  <si>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</si>
  <si>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</si>
  <si>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</si>
  <si>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</si>
  <si>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</si>
  <si>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</si>
  <si>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</si>
  <si>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</si>
  <si>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</si>
  <si>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</si>
  <si>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</si>
  <si>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</si>
  <si>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</si>
  <si>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</si>
  <si>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</si>
  <si>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</si>
  <si>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</si>
  <si>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</si>
  <si>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</si>
  <si>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</si>
  <si>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</si>
  <si>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</si>
  <si>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</si>
  <si>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</si>
  <si>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</si>
  <si>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</si>
  <si>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</si>
  <si>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</si>
  <si>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</si>
  <si>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</si>
  <si>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</si>
  <si>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</si>
  <si>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</si>
  <si>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</si>
  <si>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</si>
  <si>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</si>
  <si>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</si>
  <si>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</si>
  <si>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</si>
  <si>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</si>
  <si>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</si>
  <si>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</si>
  <si>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</si>
  <si>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</si>
  <si>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</si>
  <si>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</si>
  <si>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</si>
  <si>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</si>
  <si>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</si>
  <si>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</si>
  <si>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</si>
  <si>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</si>
  <si>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</si>
  <si>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</si>
  <si>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</si>
  <si>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</si>
  <si>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</si>
  <si>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</si>
  <si>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</si>
  <si>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</si>
  <si>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</si>
  <si>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</si>
  <si>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</si>
  <si>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</si>
  <si>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</si>
  <si>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</si>
  <si>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</si>
  <si>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</si>
  <si>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</si>
  <si>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</si>
  <si>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</si>
  <si>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</si>
  <si>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</si>
  <si>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</si>
  <si>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</si>
  <si>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</si>
  <si>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</si>
  <si>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</si>
  <si>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</si>
  <si>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</si>
  <si>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</si>
  <si>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</si>
  <si>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</si>
  <si>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</si>
  <si>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</si>
  <si>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</si>
  <si>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</si>
  <si>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</si>
  <si>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</si>
  <si>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</si>
  <si>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</si>
  <si>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</si>
  <si>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</si>
  <si>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</si>
  <si>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</si>
  <si>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</si>
  <si>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</si>
  <si>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</si>
  <si>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</si>
  <si>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</si>
  <si>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</si>
  <si>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</si>
  <si>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</si>
  <si>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</si>
  <si>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</si>
  <si>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</si>
  <si>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</si>
  <si>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</si>
  <si>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</si>
  <si>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</si>
  <si>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</si>
  <si>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</si>
  <si>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</si>
  <si>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</si>
  <si>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</si>
  <si>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</si>
  <si>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</si>
  <si>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</si>
  <si>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</si>
  <si>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</si>
  <si>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</si>
  <si>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</si>
  <si>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</si>
  <si>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</si>
  <si>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</si>
  <si>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</si>
  <si>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</si>
  <si>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</si>
  <si>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</si>
  <si>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</si>
  <si>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</si>
  <si>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</si>
  <si>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</si>
  <si>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</si>
  <si>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</si>
  <si>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</si>
  <si>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</si>
  <si>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</si>
  <si>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</si>
  <si>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</si>
  <si>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</si>
  <si>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</si>
  <si>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</si>
  <si>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</si>
  <si>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</si>
  <si>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</si>
  <si>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</si>
  <si>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</si>
  <si>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</si>
  <si>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</si>
  <si>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</si>
  <si>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</si>
  <si>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</si>
  <si>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</si>
  <si>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</si>
  <si>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</si>
  <si>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</si>
  <si>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</si>
  <si>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</si>
  <si>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</si>
  <si>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</si>
  <si>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</si>
  <si>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</si>
  <si>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</si>
  <si>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</si>
  <si>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</si>
  <si>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</si>
  <si>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</si>
  <si>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</si>
  <si>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</si>
  <si>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</si>
  <si>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</si>
  <si>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</si>
  <si>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</si>
  <si>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</si>
  <si>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</si>
  <si>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</si>
  <si>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</si>
  <si>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</si>
  <si>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</si>
  <si>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</si>
  <si>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</si>
  <si>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</si>
  <si>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</si>
  <si>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</si>
  <si>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</si>
  <si>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</si>
  <si>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</si>
  <si>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</si>
  <si>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</si>
  <si>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</si>
  <si>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</si>
  <si>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</si>
  <si>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</si>
  <si>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</si>
  <si>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</si>
  <si>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</si>
  <si>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</si>
  <si>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</si>
  <si>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</si>
  <si>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</si>
  <si>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</si>
  <si>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</si>
  <si>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</si>
  <si>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</si>
  <si>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</si>
  <si>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</si>
  <si>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</si>
  <si>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</si>
  <si>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</si>
  <si>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</si>
  <si>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</si>
  <si>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</si>
  <si>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</si>
  <si>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</si>
  <si>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</si>
  <si>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</si>
  <si>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</si>
  <si>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</si>
  <si>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</si>
  <si>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</si>
  <si>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</si>
  <si>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</si>
  <si>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</si>
  <si>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</si>
  <si>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</si>
  <si>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</si>
  <si>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</si>
  <si>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</si>
  <si>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</si>
  <si>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</si>
  <si>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</si>
  <si>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</si>
  <si>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</si>
  <si>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</si>
  <si>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</si>
  <si>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</si>
  <si>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</si>
  <si>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</si>
  <si>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</si>
  <si>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</si>
  <si>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</si>
  <si>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</si>
  <si>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</si>
  <si>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</si>
  <si>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</si>
  <si>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</si>
  <si>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</si>
  <si>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</si>
  <si>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</si>
  <si>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</si>
  <si>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</si>
  <si>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</si>
  <si>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</si>
  <si>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</si>
  <si>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</si>
  <si>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</si>
  <si>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</si>
  <si>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</si>
  <si>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</si>
  <si>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</si>
  <si>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</si>
  <si>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</si>
  <si>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</si>
  <si>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</si>
  <si>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</si>
  <si>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</si>
  <si>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</si>
  <si>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</si>
  <si>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</si>
  <si>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</si>
  <si>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</si>
  <si>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</si>
  <si>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</si>
  <si>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</si>
  <si>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</si>
  <si>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</si>
  <si>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</si>
  <si>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</si>
  <si>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</si>
  <si>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</si>
  <si>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</si>
  <si>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</si>
  <si>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</si>
  <si>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</si>
  <si>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</si>
  <si>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</si>
  <si>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</si>
  <si>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</si>
  <si>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</si>
  <si>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</si>
  <si>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</si>
  <si>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</si>
  <si>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</si>
  <si>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</si>
  <si>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</si>
  <si>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</si>
  <si>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</si>
  <si>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</si>
  <si>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</si>
  <si>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</si>
  <si>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</si>
  <si>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</si>
  <si>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</si>
  <si>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</si>
  <si>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</si>
  <si>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</si>
  <si>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</si>
  <si>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</si>
  <si>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</si>
  <si>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</si>
  <si>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</si>
  <si>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</si>
  <si>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</si>
  <si>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</si>
  <si>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</si>
  <si>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</si>
  <si>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</si>
  <si>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</si>
  <si>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</si>
  <si>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</si>
  <si>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</si>
  <si>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</si>
  <si>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</si>
  <si>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</si>
  <si>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</si>
  <si>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</si>
  <si>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</si>
  <si>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</si>
  <si>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</si>
  <si>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</si>
  <si>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</si>
  <si>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</si>
  <si>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</si>
  <si>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</si>
  <si>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</si>
  <si>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</si>
  <si>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</si>
  <si>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</si>
  <si>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</si>
  <si>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</si>
  <si>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</si>
  <si>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</si>
  <si>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</si>
  <si>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</si>
  <si>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</si>
  <si>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</si>
  <si>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</si>
  <si>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</si>
  <si>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</si>
  <si>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</si>
  <si>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</si>
  <si>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</si>
  <si>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</si>
  <si>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</si>
  <si>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</si>
  <si>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</si>
  <si>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</si>
  <si>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</si>
  <si>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</si>
  <si>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</si>
  <si>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</si>
  <si>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</si>
  <si>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</si>
  <si>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</si>
  <si>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</si>
  <si>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</si>
  <si>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</si>
  <si>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</si>
  <si>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</si>
  <si>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</si>
  <si>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</si>
  <si>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</si>
  <si>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</si>
  <si>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</si>
  <si>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</si>
  <si>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</si>
  <si>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</si>
  <si>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</si>
  <si>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</si>
  <si>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</si>
  <si>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</si>
  <si>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</si>
  <si>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</si>
  <si>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</si>
  <si>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</si>
  <si>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</si>
  <si>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</si>
  <si>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</si>
  <si>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</si>
  <si>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</si>
  <si>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</si>
  <si>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</si>
  <si>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</si>
  <si>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</si>
  <si>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</si>
  <si>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</si>
  <si>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</si>
  <si>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</si>
  <si>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</si>
  <si>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</si>
  <si>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</si>
  <si>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</si>
  <si>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</si>
  <si>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</si>
  <si>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</si>
  <si>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</si>
  <si>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</si>
  <si>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</si>
  <si>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</si>
  <si>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</si>
  <si>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</si>
  <si>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</si>
  <si>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</si>
  <si>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</si>
  <si>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</si>
  <si>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</si>
  <si>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</si>
  <si>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</si>
  <si>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</si>
  <si>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</si>
  <si>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</si>
  <si>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</si>
  <si>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</si>
  <si>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</si>
  <si>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</si>
  <si>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</si>
  <si>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</si>
  <si>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</si>
  <si>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</si>
  <si>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</si>
  <si>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</si>
  <si>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</si>
  <si>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</si>
  <si>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</si>
  <si>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</si>
  <si>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</si>
  <si>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</si>
  <si>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</si>
  <si>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</si>
  <si>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</si>
  <si>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</si>
  <si>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</si>
  <si>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</si>
  <si>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</si>
  <si>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</si>
  <si>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</si>
  <si>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</si>
  <si>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</si>
  <si>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</si>
  <si>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</si>
  <si>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</si>
  <si>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</si>
  <si>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</si>
  <si>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</si>
  <si>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</si>
  <si>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</si>
  <si>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</si>
  <si>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</si>
  <si>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</si>
  <si>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</si>
  <si>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</si>
  <si>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</si>
  <si>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</si>
  <si>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</si>
  <si>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</si>
  <si>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</si>
  <si>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</si>
  <si>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</si>
  <si>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</si>
  <si>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</si>
  <si>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</si>
  <si>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</si>
  <si>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</si>
  <si>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</si>
  <si>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</si>
  <si>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</si>
  <si>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</si>
  <si>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</si>
  <si>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</si>
  <si>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</si>
  <si>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</si>
  <si>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</si>
  <si>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</si>
  <si>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</si>
  <si>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</si>
  <si>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</si>
  <si>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</si>
  <si>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</si>
  <si>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</si>
  <si>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</si>
  <si>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</si>
  <si>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</si>
  <si>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</si>
  <si>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</si>
  <si>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</si>
  <si>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</si>
  <si>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</si>
  <si>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</si>
  <si>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</si>
  <si>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</si>
  <si>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</si>
  <si>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</si>
  <si>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</si>
  <si>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</si>
  <si>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</si>
  <si>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</si>
  <si>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</si>
  <si>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</si>
  <si>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</si>
  <si>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</si>
  <si>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</si>
  <si>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</si>
  <si>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</si>
  <si>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</si>
  <si>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</si>
  <si>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</si>
  <si>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</si>
  <si>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</si>
  <si>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</si>
  <si>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</si>
  <si>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</si>
  <si>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</si>
  <si>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</si>
  <si>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</si>
  <si>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</si>
  <si>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</si>
  <si>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</si>
  <si>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</si>
  <si>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</si>
  <si>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</si>
  <si>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</si>
  <si>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</si>
  <si>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</si>
  <si>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</si>
  <si>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</si>
  <si>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</si>
  <si>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</si>
  <si>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</si>
  <si>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</si>
  <si>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</si>
  <si>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</si>
  <si>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</si>
  <si>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</si>
  <si>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</si>
  <si>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</si>
  <si>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</si>
  <si>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</si>
  <si>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</si>
  <si>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</si>
  <si>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</si>
  <si>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</si>
  <si>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</si>
  <si>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</si>
  <si>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</si>
  <si>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</si>
  <si>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</si>
  <si>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</si>
  <si>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</si>
  <si>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</si>
  <si>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</si>
  <si>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</si>
  <si>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</si>
  <si>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</si>
  <si>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</si>
  <si>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</si>
  <si>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</si>
  <si>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</si>
  <si>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</si>
  <si>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</si>
  <si>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</si>
  <si>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</si>
  <si>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</si>
  <si>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</si>
  <si>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</si>
  <si>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</si>
  <si>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</si>
  <si>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</si>
  <si>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</si>
  <si>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</si>
  <si>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</si>
  <si>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</si>
  <si>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</si>
  <si>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</si>
  <si>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</si>
  <si>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</si>
  <si>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</si>
  <si>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</si>
  <si>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</si>
  <si>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</si>
  <si>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</si>
  <si>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</si>
  <si>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</si>
  <si>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</si>
  <si>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</si>
  <si>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</si>
  <si>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</si>
  <si>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</si>
  <si>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</si>
  <si>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</si>
  <si>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</si>
  <si>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</si>
  <si>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</si>
  <si>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</si>
  <si>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</si>
  <si>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</si>
  <si>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</si>
  <si>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</si>
  <si>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</si>
  <si>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</si>
  <si>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</si>
  <si>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</si>
  <si>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</si>
  <si>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</si>
  <si>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</si>
  <si>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</si>
  <si>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</si>
  <si>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</si>
  <si>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</si>
  <si>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</si>
  <si>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</si>
  <si>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</si>
  <si>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</si>
  <si>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</si>
  <si>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</si>
  <si>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</si>
  <si>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</si>
  <si>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</si>
  <si>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</si>
  <si>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</si>
  <si>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</si>
  <si>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</si>
  <si>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</si>
  <si>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</si>
  <si>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</si>
  <si>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</si>
  <si>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</si>
  <si>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</si>
  <si>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</si>
  <si>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</si>
  <si>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</si>
  <si>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</si>
  <si>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</si>
  <si>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</si>
  <si>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</si>
  <si>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</si>
  <si>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</si>
  <si>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</si>
  <si>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</si>
  <si>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</si>
  <si>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</si>
  <si>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</si>
  <si>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</si>
  <si>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</si>
  <si>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</si>
  <si>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</si>
  <si>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</si>
  <si>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</si>
  <si>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</si>
  <si>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</si>
  <si>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</si>
  <si>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</si>
  <si>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</si>
  <si>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</si>
  <si>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</si>
  <si>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</si>
  <si>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</si>
  <si>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</si>
  <si>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</si>
  <si>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</si>
  <si>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</si>
  <si>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</si>
  <si>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</si>
  <si>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</si>
  <si>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</si>
  <si>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</si>
  <si>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</si>
  <si>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</si>
  <si>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</si>
  <si>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</si>
  <si>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</si>
  <si>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</si>
  <si>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</si>
  <si>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</si>
  <si>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</si>
  <si>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</si>
  <si>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</si>
  <si>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</si>
  <si>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</si>
  <si>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</si>
  <si>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</si>
  <si>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</si>
  <si>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</si>
  <si>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</si>
  <si>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</si>
  <si>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</si>
  <si>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</si>
  <si>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</si>
  <si>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</si>
  <si>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</si>
  <si>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</si>
  <si>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</si>
  <si>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</si>
  <si>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</si>
  <si>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</si>
  <si>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</si>
  <si>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</si>
  <si>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</si>
  <si>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</si>
  <si>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</si>
  <si>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</si>
  <si>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</si>
  <si>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</si>
  <si>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</si>
  <si>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</si>
  <si>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</si>
  <si>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</si>
  <si>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</si>
  <si>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</si>
  <si>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</si>
  <si>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</si>
  <si>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</si>
  <si>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</si>
  <si>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</si>
  <si>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</si>
  <si>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</si>
  <si>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</si>
  <si>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</si>
  <si>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</si>
  <si>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</si>
  <si>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</si>
  <si>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</si>
  <si>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</si>
  <si>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</si>
  <si>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</si>
  <si>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</si>
  <si>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</si>
  <si>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</si>
  <si>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</si>
  <si>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</si>
  <si>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</si>
  <si>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</si>
  <si>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</si>
  <si>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</si>
  <si>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</si>
  <si>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</si>
  <si>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</si>
  <si>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</si>
  <si>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</si>
  <si>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</si>
  <si>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</si>
  <si>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</si>
  <si>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</si>
  <si>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</si>
  <si>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</si>
  <si>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</si>
  <si>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</si>
  <si>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</si>
  <si>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</si>
  <si>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</si>
  <si>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</si>
  <si>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</si>
  <si>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</si>
  <si>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</si>
  <si>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</si>
  <si>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</si>
  <si>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</si>
  <si>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</si>
  <si>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</si>
  <si>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</si>
  <si>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</si>
  <si>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</si>
  <si>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</si>
  <si>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</si>
  <si>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</si>
  <si>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</si>
  <si>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</si>
  <si>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</si>
  <si>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</si>
  <si>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</si>
  <si>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</si>
  <si>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</si>
  <si>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</si>
  <si>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</si>
  <si>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</si>
  <si>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</si>
  <si>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</si>
  <si>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</si>
  <si>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</si>
  <si>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</si>
  <si>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</si>
  <si>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</si>
  <si>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</si>
  <si>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</si>
  <si>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</si>
  <si>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</si>
  <si>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</si>
  <si>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</si>
  <si>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</si>
  <si>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</si>
  <si>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</si>
  <si>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</si>
  <si>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</si>
  <si>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</si>
  <si>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</si>
  <si>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</si>
  <si>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</si>
  <si>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</si>
  <si>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</si>
  <si>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</si>
  <si>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</si>
  <si>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</si>
  <si>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</si>
  <si>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</si>
  <si>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</si>
  <si>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</si>
  <si>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</si>
  <si>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</si>
  <si>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</si>
  <si>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</si>
  <si>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</si>
  <si>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</si>
  <si>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</si>
  <si>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</si>
  <si>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</si>
  <si>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</si>
  <si>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</si>
  <si>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</si>
  <si>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</si>
  <si>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</si>
  <si>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</si>
  <si>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</si>
  <si>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</si>
  <si>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</si>
  <si>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</si>
  <si>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</si>
  <si>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</si>
  <si>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</si>
  <si>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</si>
  <si>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</si>
  <si>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</si>
  <si>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</si>
  <si>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</si>
  <si>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</si>
  <si>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</si>
  <si>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</si>
  <si>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</si>
  <si>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</si>
  <si>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</si>
  <si>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</si>
  <si>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</si>
  <si>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</si>
  <si>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</si>
  <si>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</si>
  <si>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</si>
  <si>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</si>
  <si>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</si>
  <si>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</si>
  <si>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</si>
  <si>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</si>
  <si>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</si>
  <si>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</si>
  <si>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</si>
  <si>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</si>
  <si>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</si>
  <si>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</si>
  <si>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</si>
  <si>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</si>
  <si>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</si>
  <si>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</si>
  <si>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</si>
  <si>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</si>
  <si>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</si>
  <si>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</si>
  <si>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</si>
  <si>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</si>
  <si>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</si>
  <si>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</si>
  <si>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</si>
  <si>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</si>
  <si>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</si>
  <si>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</si>
  <si>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</si>
  <si>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</si>
  <si>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</si>
  <si>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</si>
  <si>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</si>
  <si>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</si>
  <si>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</si>
  <si>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</si>
  <si>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</si>
  <si>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</si>
  <si>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</si>
  <si>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</si>
  <si>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</si>
  <si>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</si>
  <si>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</si>
  <si>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</si>
  <si>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</si>
  <si>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</si>
  <si>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</si>
  <si>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</si>
  <si>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</si>
  <si>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</si>
  <si>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</si>
  <si>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</si>
  <si>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</si>
  <si>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</si>
  <si>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</si>
  <si>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</si>
  <si>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</si>
  <si>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</si>
  <si>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</si>
  <si>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</si>
  <si>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</si>
  <si>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</si>
  <si>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</si>
  <si>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</si>
  <si>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</si>
  <si>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</si>
  <si>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</si>
  <si>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</si>
  <si>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</si>
  <si>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</si>
  <si>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</si>
  <si>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</si>
  <si>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</si>
  <si>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</si>
  <si>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</si>
  <si>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</si>
  <si>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</si>
  <si>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</si>
  <si>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</si>
  <si>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</si>
  <si>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</si>
  <si>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</si>
  <si>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</si>
  <si>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</si>
  <si>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</si>
  <si>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</si>
  <si>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</si>
  <si>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</si>
  <si>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</si>
  <si>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</si>
  <si>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</si>
  <si>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</si>
  <si>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</si>
  <si>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</si>
  <si>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</si>
  <si>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</si>
  <si>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</si>
  <si>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</si>
  <si>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</si>
  <si>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</si>
  <si>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</si>
  <si>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</si>
  <si>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</si>
  <si>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</si>
  <si>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</si>
  <si>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</si>
  <si>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</si>
  <si>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</si>
  <si>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</si>
  <si>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</si>
  <si>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</si>
  <si>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</si>
  <si>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</si>
  <si>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</si>
  <si>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</si>
  <si>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</si>
  <si>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</si>
  <si>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</si>
  <si>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</si>
  <si>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</si>
  <si>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</si>
  <si>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</si>
  <si>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</si>
  <si>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</si>
  <si>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</si>
  <si>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</si>
  <si>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</si>
  <si>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</si>
  <si>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</si>
  <si>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</si>
  <si>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</si>
  <si>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</si>
  <si>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</si>
  <si>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</si>
  <si>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</si>
  <si>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</si>
  <si>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</si>
  <si>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</si>
  <si>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</si>
  <si>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</si>
  <si>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</si>
  <si>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</si>
  <si>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</si>
  <si>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</si>
  <si>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</si>
  <si>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</si>
  <si>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</si>
  <si>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</si>
  <si>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</si>
  <si>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</si>
  <si>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</si>
  <si>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</si>
  <si>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</si>
  <si>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</si>
  <si>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</si>
  <si>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</si>
  <si>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</si>
  <si>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</si>
  <si>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</si>
  <si>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</si>
  <si>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</si>
  <si>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</si>
  <si>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</si>
  <si>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</si>
  <si>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</si>
  <si>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</si>
  <si>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</si>
  <si>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</si>
  <si>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</si>
  <si>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</si>
  <si>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</si>
  <si>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</si>
  <si>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</si>
  <si>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</si>
  <si>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</si>
  <si>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</si>
  <si>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</si>
  <si>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</si>
  <si>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</si>
  <si>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</si>
  <si>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</si>
  <si>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</si>
  <si>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</si>
  <si>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</si>
  <si>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</si>
  <si>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</si>
  <si>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</si>
  <si>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</si>
  <si>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</si>
  <si>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</si>
  <si>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</si>
  <si>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</si>
  <si>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</si>
  <si>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</si>
  <si>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</si>
  <si>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</si>
  <si>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</si>
  <si>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</si>
  <si>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</si>
  <si>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</si>
  <si>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</si>
  <si>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</si>
  <si>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</si>
  <si>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</si>
  <si>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</si>
  <si>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</si>
  <si>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</si>
  <si>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</si>
  <si>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</si>
  <si>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</si>
  <si>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</si>
  <si>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</si>
  <si>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</si>
  <si>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</si>
  <si>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</si>
  <si>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</si>
  <si>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</si>
  <si>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</si>
  <si>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</si>
  <si>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</si>
  <si>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</si>
  <si>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</si>
  <si>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</si>
  <si>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</si>
  <si>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</si>
  <si>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</si>
  <si>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</si>
  <si>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</si>
  <si>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</si>
  <si>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</si>
  <si>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</si>
  <si>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</si>
  <si>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</si>
  <si>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</si>
  <si>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</si>
  <si>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</si>
  <si>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</si>
  <si>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</si>
  <si>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</si>
  <si>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</si>
  <si>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</si>
  <si>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</si>
  <si>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</si>
  <si>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</si>
  <si>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</si>
  <si>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</si>
  <si>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</si>
  <si>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</si>
  <si>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</si>
  <si>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</si>
  <si>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</si>
  <si>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</si>
  <si>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</si>
  <si>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</si>
  <si>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</si>
  <si>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</si>
  <si>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</si>
  <si>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</si>
  <si>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</si>
  <si>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</si>
  <si>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</si>
  <si>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</si>
  <si>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</si>
  <si>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</si>
  <si>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</si>
  <si>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</si>
  <si>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</si>
  <si>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</si>
  <si>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</si>
  <si>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</si>
  <si>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</si>
  <si>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</si>
  <si>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</si>
  <si>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</si>
  <si>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</si>
  <si>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</si>
  <si>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</si>
  <si>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</si>
  <si>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</si>
  <si>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</si>
  <si>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</si>
  <si>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</si>
  <si>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</si>
  <si>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</si>
  <si>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</si>
  <si>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</si>
  <si>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</si>
  <si>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</si>
  <si>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</si>
  <si>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</si>
  <si>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</si>
  <si>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</si>
  <si>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</si>
  <si>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</si>
  <si>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</si>
  <si>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</si>
  <si>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</si>
  <si>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</si>
  <si>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</si>
  <si>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</si>
  <si>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</si>
  <si>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</si>
  <si>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</si>
  <si>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</si>
  <si>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</si>
  <si>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</si>
  <si>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</si>
  <si>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</si>
  <si>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</si>
  <si>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</si>
  <si>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</si>
  <si>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</si>
  <si>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</si>
  <si>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</si>
  <si>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</si>
  <si>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PAILLON DE CONTES</t>
  </si>
  <si>
    <t xml:space="preserve">PAILLON DE CONTES A COARAZE 1</t>
  </si>
  <si>
    <t xml:space="preserve">06700260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</si>
  <si>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</si>
  <si>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</si>
  <si>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</si>
  <si>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</si>
  <si>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</si>
  <si>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</si>
  <si>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</si>
  <si>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</si>
  <si>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cascade</t>
  </si>
  <si>
    <t xml:space="preserve">pl. lent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</si>
  <si>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</si>
  <si>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</si>
  <si>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</si>
  <si>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</si>
  <si>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</si>
  <si>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</si>
  <si>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</si>
  <si>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</si>
  <si>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</si>
  <si>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</si>
  <si>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</si>
  <si>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</si>
  <si>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</si>
  <si>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</si>
  <si>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</si>
  <si>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</si>
  <si>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</si>
  <si>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</si>
  <si>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</si>
  <si>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</si>
  <si>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</si>
  <si>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</si>
  <si>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</si>
  <si>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</si>
  <si>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</si>
  <si>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</si>
  <si>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</si>
  <si>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</si>
  <si>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</si>
  <si>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</si>
  <si>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</si>
  <si>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</si>
  <si>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</si>
  <si>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</si>
  <si>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</si>
  <si>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</si>
  <si>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</si>
  <si>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</si>
  <si>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</si>
  <si>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</si>
  <si>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</si>
  <si>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</si>
  <si>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</si>
  <si>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</si>
  <si>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</si>
  <si>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</si>
  <si>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</si>
  <si>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</si>
  <si>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</si>
  <si>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</si>
  <si>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</si>
  <si>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</si>
  <si>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</si>
  <si>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</si>
  <si>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</si>
  <si>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</si>
  <si>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</si>
  <si>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</si>
  <si>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</si>
  <si>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</si>
  <si>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Cymbellaceae</t>
  </si>
  <si>
    <t xml:space="preserve">Pohlia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</si>
  <si>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</si>
  <si>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</si>
  <si>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</si>
  <si>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</si>
  <si>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</si>
  <si>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</si>
  <si>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</si>
  <si>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</si>
  <si>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</si>
  <si>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</si>
  <si>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</si>
  <si>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</si>
  <si>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</si>
  <si>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</si>
  <si>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</si>
  <si>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</si>
  <si>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</si>
  <si>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</si>
  <si>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</si>
  <si>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</si>
  <si>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</si>
  <si>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</si>
  <si>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</si>
  <si>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</si>
  <si>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</si>
  <si>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</si>
  <si>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</si>
  <si>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rapide</t>
  </si>
  <si>
    <t xml:space="preserve">ch. lentique</t>
  </si>
  <si>
    <t xml:space="preserve">mouille</t>
  </si>
  <si>
    <t xml:space="preserve">f. de dissipation</t>
  </si>
  <si>
    <t xml:space="preserve">autre</t>
  </si>
  <si>
    <t xml:space="preserve">Confer</t>
  </si>
  <si>
    <t xml:space="preserve">Cf.</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</si>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</sst>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sz val="8"/>
      <color rgb="FF000000"/>
      <name val="Tahoma"/>
      <family val="2"/>
      <charset val="1"/>
    </font>
    <font>
      <sz val="9"/>
      <color rgb="FF000000"/>
      <name val="Tahoma"/>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5"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6"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8" fillId="2" borderId="11" xfId="0" applyFont="true" applyBorder="true" applyAlignment="false" applyProtection="false">
      <alignment horizontal="general" vertical="bottom" textRotation="0" wrapText="false" indent="0" shrinkToFit="false"/>
      <protection locked="true" hidden="false"/>
    </xf>
    <xf numFmtId="164" fontId="59" fillId="2" borderId="0" xfId="0" applyFont="true" applyBorder="true" applyAlignment="true" applyProtection="false">
      <alignment horizontal="general" vertical="bottom" textRotation="0" wrapText="false" indent="0" shrinkToFit="false"/>
      <protection locked="true" hidden="false"/>
    </xf>
    <xf numFmtId="164" fontId="60" fillId="2" borderId="0" xfId="0" applyFont="true" applyBorder="true" applyAlignment="false" applyProtection="false">
      <alignment horizontal="general" vertical="bottom" textRotation="0" wrapText="false" indent="0" shrinkToFit="false"/>
      <protection locked="true" hidden="false"/>
    </xf>
    <xf numFmtId="164" fontId="61" fillId="2" borderId="47" xfId="0" applyFont="true" applyBorder="true" applyAlignment="true" applyProtection="false">
      <alignment horizontal="right" vertical="bottom" textRotation="0" wrapText="false" indent="0" shrinkToFit="false"/>
      <protection locked="true" hidden="false"/>
    </xf>
    <xf numFmtId="164" fontId="78"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61"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7" fillId="11" borderId="16" xfId="0" applyFont="true" applyBorder="true" applyAlignment="true" applyProtection="true">
      <alignment horizontal="left" vertical="bottom" textRotation="0" wrapText="false" indent="0" shrinkToFit="false"/>
      <protection locked="false" hidden="false"/>
    </xf>
    <xf numFmtId="164" fontId="54" fillId="11" borderId="49" xfId="0" applyFont="true" applyBorder="true" applyAlignment="true" applyProtection="true">
      <alignment horizontal="left" vertical="bottom" textRotation="0" wrapText="false" indent="0" shrinkToFit="false"/>
      <protection locked="true" hidden="false"/>
    </xf>
    <xf numFmtId="164" fontId="87"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4"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8"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9"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90"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91" fillId="9" borderId="58" xfId="0" applyFont="true" applyBorder="true" applyAlignment="true" applyProtection="true">
      <alignment horizontal="center" vertical="top" textRotation="0" wrapText="false" indent="0" shrinkToFit="false"/>
      <protection locked="true" hidden="true"/>
    </xf>
    <xf numFmtId="164" fontId="54"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2"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3"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4" fillId="0" borderId="0" xfId="0" applyFont="true" applyBorder="false" applyAlignment="false" applyProtection="true">
      <alignment horizontal="general" vertical="bottom" textRotation="0" wrapText="false" indent="0" shrinkToFit="false"/>
      <protection locked="true" hidden="true"/>
    </xf>
    <xf numFmtId="167" fontId="94" fillId="6" borderId="48" xfId="0" applyFont="true" applyBorder="true" applyAlignment="false" applyProtection="true">
      <alignment horizontal="general" vertical="bottom" textRotation="0" wrapText="false" indent="0" shrinkToFit="false"/>
      <protection locked="true" hidden="true"/>
    </xf>
    <xf numFmtId="164" fontId="94"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4" fillId="3" borderId="49" xfId="0" applyFont="true" applyBorder="true" applyAlignment="true" applyProtection="true">
      <alignment horizontal="right" vertical="bottom" textRotation="0" wrapText="false" indent="0" shrinkToFit="false"/>
      <protection locked="true" hidden="true"/>
    </xf>
    <xf numFmtId="174" fontId="54"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5"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4"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2" fillId="3" borderId="0" xfId="0" applyFont="true" applyBorder="true" applyAlignment="false" applyProtection="true">
      <alignment horizontal="general" vertical="bottom" textRotation="0" wrapText="false" indent="0" shrinkToFit="false"/>
      <protection locked="true" hidden="true"/>
    </xf>
    <xf numFmtId="164" fontId="92"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4" fillId="4" borderId="34" xfId="0" applyFont="true" applyBorder="true" applyAlignment="true" applyProtection="true">
      <alignment horizontal="center" vertical="bottom" textRotation="0" wrapText="false" indent="0" shrinkToFit="false"/>
      <protection locked="true" hidden="true"/>
    </xf>
    <xf numFmtId="164" fontId="54" fillId="4" borderId="16" xfId="0" applyFont="true" applyBorder="true" applyAlignment="true" applyProtection="true">
      <alignment horizontal="center" vertical="bottom" textRotation="0" wrapText="false" indent="0" shrinkToFit="false"/>
      <protection locked="true" hidden="true"/>
    </xf>
    <xf numFmtId="164" fontId="54" fillId="4" borderId="0" xfId="0" applyFont="true" applyBorder="true" applyAlignment="true" applyProtection="true">
      <alignment horizontal="center" vertical="bottom" textRotation="0" wrapText="false" indent="0" shrinkToFit="false"/>
      <protection locked="true" hidden="true"/>
    </xf>
    <xf numFmtId="164" fontId="54"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6"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6"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6"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5"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CC8AF"/>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5"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6"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7"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8"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9"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10"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1"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2"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42894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14.6923076923077</v>
      </c>
      <c r="N5" s="324"/>
      <c r="O5" s="325" t="s">
        <v>398</v>
      </c>
      <c r="P5" s="326" t="n">
        <v>15.2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72</v>
      </c>
      <c r="C7" s="342" t="n">
        <v>28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14</v>
      </c>
      <c r="P8" s="356" t="n">
        <f aca="false">IF(ISERROR(AVERAGE(K23:K82)),"  ",AVERAGE(K23:K82))</f>
        <v>2.16666666666667</v>
      </c>
      <c r="Q8" s="357"/>
      <c r="R8" s="281"/>
      <c r="S8" s="281"/>
      <c r="T8" s="281"/>
      <c r="U8" s="281"/>
      <c r="V8" s="281"/>
      <c r="W8" s="295"/>
      <c r="X8" s="0"/>
      <c r="Y8" s="0"/>
      <c r="Z8" s="0"/>
    </row>
    <row r="9" customFormat="false" ht="12.75" hidden="false" customHeight="false" outlineLevel="0" collapsed="false">
      <c r="A9" s="314" t="s">
        <v>3399</v>
      </c>
      <c r="B9" s="358" t="n">
        <v>0.5</v>
      </c>
      <c r="C9" s="359" t="n">
        <v>0.3</v>
      </c>
      <c r="D9" s="360"/>
      <c r="E9" s="360"/>
      <c r="F9" s="361" t="n">
        <f aca="false">($B9*$B$7+$C9*$C$7)/100</f>
        <v>0.444</v>
      </c>
      <c r="G9" s="362"/>
      <c r="H9" s="317"/>
      <c r="I9" s="281"/>
      <c r="J9" s="363"/>
      <c r="K9" s="364"/>
      <c r="L9" s="347"/>
      <c r="M9" s="365"/>
      <c r="N9" s="355" t="s">
        <v>3400</v>
      </c>
      <c r="O9" s="356" t="n">
        <f aca="false">IF(ISERROR(STDEVP(J23:J82))," ",STDEVP(J23:J82))</f>
        <v>3.16227766016838</v>
      </c>
      <c r="P9" s="356" t="n">
        <f aca="false">IF(ISERROR(STDEVP(K23:K82)),"  ",STDEVP(K23:K82))</f>
        <v>0.687184270936277</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9</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8</v>
      </c>
      <c r="M13" s="381"/>
      <c r="N13" s="389" t="s">
        <v>3413</v>
      </c>
      <c r="O13" s="390" t="n">
        <f aca="false">COUNTIF(F23:F82,"&gt;0")</f>
        <v>17</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6</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v>
      </c>
      <c r="M15" s="381"/>
      <c r="N15" s="389" t="s">
        <v>3419</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0.470588235294118</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0.76</v>
      </c>
      <c r="C20" s="433" t="n">
        <f aca="false">SUM(C23:C82)</f>
        <v>0.36</v>
      </c>
      <c r="D20" s="434"/>
      <c r="E20" s="435" t="s">
        <v>3426</v>
      </c>
      <c r="F20" s="436" t="n">
        <f aca="false">($B20*$B$7+$C20*$C$7)/100</f>
        <v>0.648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0.5472</v>
      </c>
      <c r="C21" s="444" t="n">
        <f aca="false">C20*C7/100</f>
        <v>0.1008</v>
      </c>
      <c r="D21" s="445" t="s">
        <v>3429</v>
      </c>
      <c r="E21" s="446"/>
      <c r="F21" s="447" t="n">
        <f aca="false">B21+C21</f>
        <v>0.648</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65</v>
      </c>
      <c r="B23" s="472" t="n">
        <v>0.01</v>
      </c>
      <c r="C23" s="473" t="n">
        <v>0.01</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0.01</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221</v>
      </c>
      <c r="B24" s="490" t="n">
        <v>0.01</v>
      </c>
      <c r="C24" s="491"/>
      <c r="D24" s="492" t="str">
        <f aca="false">IF(ISERROR(VLOOKUP($A24,'liste reference'!$A$6:$B$1174,2,0)),IF(ISERROR(VLOOKUP($A24,'liste reference'!$B$6:$B$1174,1,0)),"",VLOOKUP($A24,'liste reference'!$B$6:$B$1174,1,0)),VLOOKUP($A24,'liste reference'!$A$6:$B$1174,2,0))</f>
        <v>Leptolyngbya sp.</v>
      </c>
      <c r="E24" s="493" t="e">
        <f aca="false">IF(D24="",0,VLOOKUP(D24,D$22:D23,1,0))</f>
        <v>#N/A</v>
      </c>
      <c r="F24" s="494" t="n">
        <f aca="false">IF(AND(OR(A24="",A24="!!!!!!"),B24="",C24=""),"",IF(OR(AND(B24="",C24=""),ISERROR(C24+B24)),"!!!",($B24*$B$7+$C24*$C$7)/100))</f>
        <v>0.0072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Leptolyngbya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6449</v>
      </c>
      <c r="R24" s="484" t="n">
        <f aca="false">IF(ISTEXT(H24),"",(B24*$B$7/100)+(C24*$C$7/100))</f>
        <v>0.0072</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LETSPX</v>
      </c>
      <c r="Z24" s="470" t="n">
        <f aca="false">IF(ISERROR(MATCH(A24,'liste reference'!$A$6:$A$1174,0)),IF(ISERROR(MATCH(A24,'liste reference'!$B$6:$B$1174,0)),"",(MATCH(A24,'liste reference'!$B$6:$B$1174,0))),(MATCH(A24,'liste reference'!$A$6:$A$1174,0)))</f>
        <v>60</v>
      </c>
    </row>
    <row r="25" customFormat="false" ht="12.75" hidden="false" customHeight="false" outlineLevel="0" collapsed="false">
      <c r="A25" s="489" t="s">
        <v>291</v>
      </c>
      <c r="B25" s="490" t="n">
        <v>0.03</v>
      </c>
      <c r="C25" s="491"/>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0.0216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0.0216</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330</v>
      </c>
      <c r="B26" s="490" t="n">
        <v>0.05</v>
      </c>
      <c r="C26" s="491" t="n">
        <v>0.01</v>
      </c>
      <c r="D26" s="492" t="str">
        <f aca="false">IF(ISERROR(VLOOKUP($A26,'liste reference'!$A$6:$B$1174,2,0)),IF(ISERROR(VLOOKUP($A26,'liste reference'!$B$6:$B$1174,1,0)),"",VLOOKUP($A26,'liste reference'!$B$6:$B$1174,1,0)),VLOOKUP($A26,'liste reference'!$A$6:$B$1174,2,0))</f>
        <v>Rivularia sp.</v>
      </c>
      <c r="E26" s="493" t="e">
        <f aca="false">IF(D26="",0,VLOOKUP(D26,D$22:D25,1,0))</f>
        <v>#N/A</v>
      </c>
      <c r="F26" s="494" t="n">
        <f aca="false">IF(AND(OR(A26="",A26="!!!!!!"),B26="",C26=""),"",IF(OR(AND(B26="",C26=""),ISERROR(C26+B26)),"!!!",($B26*$B$7+$C26*$C$7)/100))</f>
        <v>0.0388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Rivularia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6300</v>
      </c>
      <c r="R26" s="484" t="n">
        <f aca="false">IF(ISTEXT(H26),"",(B26*$B$7/100)+(C26*$C$7/100))</f>
        <v>0.0388</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RIVSPX</v>
      </c>
      <c r="Z26" s="470" t="n">
        <f aca="false">IF(ISERROR(MATCH(A26,'liste reference'!$A$6:$A$1174,0)),IF(ISERROR(MATCH(A26,'liste reference'!$B$6:$B$1174,0)),"",(MATCH(A26,'liste reference'!$B$6:$B$1174,0))),(MATCH(A26,'liste reference'!$A$6:$A$1174,0)))</f>
        <v>96</v>
      </c>
    </row>
    <row r="27" customFormat="false" ht="12.75" hidden="false" customHeight="false" outlineLevel="0" collapsed="false">
      <c r="A27" s="489" t="s">
        <v>376</v>
      </c>
      <c r="B27" s="490" t="n">
        <v>0.01</v>
      </c>
      <c r="C27" s="491"/>
      <c r="D27" s="492" t="str">
        <f aca="false">IF(ISERROR(VLOOKUP($A27,'liste reference'!$A$6:$B$1174,2,0)),IF(ISERROR(VLOOKUP($A27,'liste reference'!$B$6:$B$1174,1,0)),"",VLOOKUP($A27,'liste reference'!$B$6:$B$1174,1,0)),VLOOKUP($A27,'liste reference'!$A$6:$B$1174,2,0))</f>
        <v>Tolypothrix sp.</v>
      </c>
      <c r="E27" s="493" t="e">
        <f aca="false">IF(D27="",0,VLOOKUP(D27,D$22:D26,1,0))</f>
        <v>#N/A</v>
      </c>
      <c r="F27" s="494" t="n">
        <f aca="false">IF(AND(OR(A27="",A27="!!!!!!"),B27="",C27=""),"",IF(OR(AND(B27="",C27=""),ISERROR(C27+B27)),"!!!",($B27*$B$7+$C27*$C$7)/100))</f>
        <v>0.0072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Tolypothrix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6304</v>
      </c>
      <c r="R27" s="484" t="n">
        <f aca="false">IF(ISTEXT(H27),"",(B27*$B$7/100)+(C27*$C$7/100))</f>
        <v>0.0072</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TOYSPX</v>
      </c>
      <c r="Z27" s="470" t="n">
        <f aca="false">IF(ISERROR(MATCH(A27,'liste reference'!$A$6:$A$1174,0)),IF(ISERROR(MATCH(A27,'liste reference'!$B$6:$B$1174,0)),"",(MATCH(A27,'liste reference'!$B$6:$B$1174,0))),(MATCH(A27,'liste reference'!$A$6:$A$1174,0)))</f>
        <v>113</v>
      </c>
    </row>
    <row r="28" customFormat="false" ht="12.75" hidden="false" customHeight="false" outlineLevel="0" collapsed="false">
      <c r="A28" s="489" t="s">
        <v>398</v>
      </c>
      <c r="B28" s="490" t="n">
        <v>0.1</v>
      </c>
      <c r="C28" s="491"/>
      <c r="D28" s="492" t="str">
        <f aca="false">IF(ISERROR(VLOOKUP($A28,'liste reference'!$A$6:$B$1174,2,0)),IF(ISERROR(VLOOKUP($A28,'liste reference'!$B$6:$B$1174,1,0)),"",VLOOKUP($A28,'liste reference'!$B$6:$B$1174,1,0)),VLOOKUP($A28,'liste reference'!$A$6:$B$1174,2,0))</f>
        <v>Zygnema sp.</v>
      </c>
      <c r="E28" s="493" t="e">
        <f aca="false">IF(D28="",0,VLOOKUP(D28,D$22:D27,1,0))</f>
        <v>#N/A</v>
      </c>
      <c r="F28" s="494" t="n">
        <f aca="false">IF(AND(OR(A28="",A28="!!!!!!"),B28="",C28=""),"",IF(OR(AND(B28="",C28=""),ISERROR(C28+B28)),"!!!",($B28*$B$7+$C28*$C$7)/100))</f>
        <v>0.072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Zygnema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1148</v>
      </c>
      <c r="R28" s="484" t="n">
        <f aca="false">IF(ISTEXT(H28),"",(B28*$B$7/100)+(C28*$C$7/100))</f>
        <v>0.072</v>
      </c>
      <c r="S28" s="485" t="n">
        <f aca="false">IF(OR(ISTEXT(H28),R28=0),"",IF(R28&lt;0.1,1,IF(R28&lt;1,2,IF(R28&lt;10,3,IF(R28&lt;50,4,IF(R28&gt;=50,5,""))))))</f>
        <v>1</v>
      </c>
      <c r="T28" s="485" t="n">
        <f aca="false">IF(ISERROR(S28*J28),0,S28*J28)</f>
        <v>13</v>
      </c>
      <c r="U28" s="485" t="n">
        <f aca="false">IF(ISERROR(S28*J28*K28),0,S28*J28*K28)</f>
        <v>39</v>
      </c>
      <c r="V28" s="501" t="n">
        <f aca="false">IF(ISERROR(S28*K28),0,S28*K28)</f>
        <v>3</v>
      </c>
      <c r="W28" s="502"/>
      <c r="X28" s="503"/>
      <c r="Y28" s="488" t="str">
        <f aca="false">IF(AND(ISNUMBER(F28),OR(A28="",A28="!!!!!!")),"!!!!!!",IF(A28="new.cod","NEWCOD",IF(AND((Z28=""),ISTEXT(A28),A28&lt;&gt;"!!!!!!"),A28,IF(Z28="","",INDEX('liste reference'!$A$6:$A$1174,Z28)))))</f>
        <v>ZYGSPX</v>
      </c>
      <c r="Z28" s="470" t="n">
        <f aca="false">IF(ISERROR(MATCH(A28,'liste reference'!$A$6:$A$1174,0)),IF(ISERROR(MATCH(A28,'liste reference'!$B$6:$B$1174,0)),"",(MATCH(A28,'liste reference'!$B$6:$B$1174,0))),(MATCH(A28,'liste reference'!$A$6:$A$1174,0)))</f>
        <v>119</v>
      </c>
    </row>
    <row r="29" customFormat="false" ht="12.75" hidden="false" customHeight="false" outlineLevel="0" collapsed="false">
      <c r="A29" s="489" t="s">
        <v>455</v>
      </c>
      <c r="B29" s="490" t="n">
        <v>0.01</v>
      </c>
      <c r="C29" s="491"/>
      <c r="D29" s="492" t="str">
        <f aca="false">IF(ISERROR(VLOOKUP($A29,'liste reference'!$A$6:$B$1174,2,0)),IF(ISERROR(VLOOKUP($A29,'liste reference'!$B$6:$B$1174,1,0)),"",VLOOKUP($A29,'liste reference'!$B$6:$B$1174,1,0)),VLOOKUP($A29,'liste reference'!$A$6:$B$1174,2,0))</f>
        <v>Conocephalum conicum</v>
      </c>
      <c r="E29" s="493" t="e">
        <f aca="false">IF(D29="",0,VLOOKUP(D29,D$22:D28,1,0))</f>
        <v>#N/A</v>
      </c>
      <c r="F29" s="494" t="n">
        <f aca="false">IF(AND(OR(A29="",A29="!!!!!!"),B29="",C29=""),"",IF(OR(AND(B29="",C29=""),ISERROR(C29+B29)),"!!!",($B29*$B$7+$C29*$C$7)/100))</f>
        <v>0.0072</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Conocephalum conicum</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1176</v>
      </c>
      <c r="R29" s="484" t="n">
        <f aca="false">IF(ISTEXT(H29),"",(B29*$B$7/100)+(C29*$C$7/100))</f>
        <v>0.0072</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CONCON</v>
      </c>
      <c r="Z29" s="470" t="n">
        <f aca="false">IF(ISERROR(MATCH(A29,'liste reference'!$A$6:$A$1174,0)),IF(ISERROR(MATCH(A29,'liste reference'!$B$6:$B$1174,0)),"",(MATCH(A29,'liste reference'!$B$6:$B$1174,0))),(MATCH(A29,'liste reference'!$A$6:$A$1174,0)))</f>
        <v>139</v>
      </c>
    </row>
    <row r="30" customFormat="false" ht="12.75" hidden="false" customHeight="false" outlineLevel="0" collapsed="false">
      <c r="A30" s="489" t="s">
        <v>465</v>
      </c>
      <c r="B30" s="490" t="n">
        <v>0.01</v>
      </c>
      <c r="C30" s="491" t="n">
        <v>0.01</v>
      </c>
      <c r="D30" s="492" t="str">
        <f aca="false">IF(ISERROR(VLOOKUP($A30,'liste reference'!$A$6:$B$1174,2,0)),IF(ISERROR(VLOOKUP($A30,'liste reference'!$B$6:$B$1174,1,0)),"",VLOOKUP($A30,'liste reference'!$B$6:$B$1174,1,0)),VLOOKUP($A30,'liste reference'!$A$6:$B$1174,2,0))</f>
        <v>Jungermannia atrovirens</v>
      </c>
      <c r="E30" s="493" t="e">
        <f aca="false">IF(D30="",0,VLOOKUP(D30,D$22:D29,1,0))</f>
        <v>#N/A</v>
      </c>
      <c r="F30" s="494" t="n">
        <f aca="false">IF(AND(OR(A30="",A30="!!!!!!"),B30="",C30=""),"",IF(OR(AND(B30="",C30=""),ISERROR(C30+B30)),"!!!",($B30*$B$7+$C30*$C$7)/100))</f>
        <v>0.01</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19</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Jungermannia atrovirens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19820</v>
      </c>
      <c r="R30" s="484" t="n">
        <f aca="false">IF(ISTEXT(H30),"",(B30*$B$7/100)+(C30*$C$7/100))</f>
        <v>0.01</v>
      </c>
      <c r="S30" s="485" t="n">
        <f aca="false">IF(OR(ISTEXT(H30),R30=0),"",IF(R30&lt;0.1,1,IF(R30&lt;1,2,IF(R30&lt;10,3,IF(R30&lt;50,4,IF(R30&gt;=50,5,""))))))</f>
        <v>1</v>
      </c>
      <c r="T30" s="485" t="n">
        <f aca="false">IF(ISERROR(S30*J30),0,S30*J30)</f>
        <v>19</v>
      </c>
      <c r="U30" s="485" t="n">
        <f aca="false">IF(ISERROR(S30*J30*K30),0,S30*J30*K30)</f>
        <v>57</v>
      </c>
      <c r="V30" s="501" t="n">
        <f aca="false">IF(ISERROR(S30*K30),0,S30*K30)</f>
        <v>3</v>
      </c>
      <c r="W30" s="502"/>
      <c r="X30" s="503"/>
      <c r="Y30" s="488" t="str">
        <f aca="false">IF(AND(ISNUMBER(F30),OR(A30="",A30="!!!!!!")),"!!!!!!",IF(A30="new.cod","NEWCOD",IF(AND((Z30=""),ISTEXT(A30),A30&lt;&gt;"!!!!!!"),A30,IF(Z30="","",INDEX('liste reference'!$A$6:$A$1174,Z30)))))</f>
        <v>JUGATR</v>
      </c>
      <c r="Z30" s="470" t="n">
        <f aca="false">IF(ISERROR(MATCH(A30,'liste reference'!$A$6:$A$1174,0)),IF(ISERROR(MATCH(A30,'liste reference'!$B$6:$B$1174,0)),"",(MATCH(A30,'liste reference'!$B$6:$B$1174,0))),(MATCH(A30,'liste reference'!$A$6:$A$1174,0)))</f>
        <v>142</v>
      </c>
    </row>
    <row r="31" customFormat="false" ht="12.75" hidden="false" customHeight="false" outlineLevel="0" collapsed="false">
      <c r="A31" s="489" t="s">
        <v>471</v>
      </c>
      <c r="B31" s="490"/>
      <c r="C31" s="491" t="n">
        <v>0.01</v>
      </c>
      <c r="D31" s="492" t="str">
        <f aca="false">IF(ISERROR(VLOOKUP($A31,'liste reference'!$A$6:$B$1174,2,0)),IF(ISERROR(VLOOKUP($A31,'liste reference'!$B$6:$B$1174,1,0)),"",VLOOKUP($A31,'liste reference'!$B$6:$B$1174,1,0)),VLOOKUP($A31,'liste reference'!$A$6:$B$1174,2,0))</f>
        <v>Jungermannia exsertifolia</v>
      </c>
      <c r="E31" s="493" t="e">
        <f aca="false">IF(D31="",0,VLOOKUP(D31,D$22:D30,1,0))</f>
        <v>#N/A</v>
      </c>
      <c r="F31" s="494" t="n">
        <f aca="false">IF(AND(OR(A31="",A31="!!!!!!"),B31="",C31=""),"",IF(OR(AND(B31="",C31=""),ISERROR(C31+B31)),"!!!",($B31*$B$7+$C31*$C$7)/100))</f>
        <v>0.0028</v>
      </c>
      <c r="G31" s="495" t="str">
        <f aca="false">IF(A31="","",IF(ISERROR(VLOOKUP($A31,'liste reference'!$A$6:$Q$1174,9,0)),IF(ISERROR(VLOOKUP($A31,'liste reference'!$B$6:$Q$1174,8,0)),"    -",VLOOKUP($A31,'liste reference'!$B$6:$Q$1174,8,0)),VLOOKUP($A31,'liste reference'!$A$6:$Q$1174,9,0)))</f>
        <v>BRh</v>
      </c>
      <c r="H31" s="496" t="n">
        <f aca="false">IF(A31="","x",IF(ISERROR(VLOOKUP($A31,'liste reference'!$A$6:$Q$1174,10,0)),IF(ISERROR(VLOOKUP($A31,'liste reference'!$B$6:$Q$1174,9,0)),"x",VLOOKUP($A31,'liste reference'!$B$6:$Q$1174,9,0)),VLOOKUP($A31,'liste reference'!$A$6:$Q$1174,10,0)))</f>
        <v>4</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Jungermannia exsertifolia</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19821</v>
      </c>
      <c r="R31" s="484" t="n">
        <f aca="false">IF(ISTEXT(H31),"",(B31*$B$7/100)+(C31*$C$7/100))</f>
        <v>0.0028</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JUGEXS</v>
      </c>
      <c r="Z31" s="470" t="n">
        <f aca="false">IF(ISERROR(MATCH(A31,'liste reference'!$A$6:$A$1174,0)),IF(ISERROR(MATCH(A31,'liste reference'!$B$6:$B$1174,0)),"",(MATCH(A31,'liste reference'!$B$6:$B$1174,0))),(MATCH(A31,'liste reference'!$A$6:$A$1174,0)))</f>
        <v>143</v>
      </c>
    </row>
    <row r="32" customFormat="false" ht="12.75" hidden="false" customHeight="false" outlineLevel="0" collapsed="false">
      <c r="A32" s="489" t="s">
        <v>557</v>
      </c>
      <c r="B32" s="490" t="n">
        <v>0.02</v>
      </c>
      <c r="C32" s="491" t="n">
        <v>0.01</v>
      </c>
      <c r="D32" s="492" t="str">
        <f aca="false">IF(ISERROR(VLOOKUP($A32,'liste reference'!$A$6:$B$1174,2,0)),IF(ISERROR(VLOOKUP($A32,'liste reference'!$B$6:$B$1174,1,0)),"",VLOOKUP($A32,'liste reference'!$B$6:$B$1174,1,0)),VLOOKUP($A32,'liste reference'!$A$6:$B$1174,2,0))</f>
        <v>Pellia sp.</v>
      </c>
      <c r="E32" s="493" t="e">
        <f aca="false">IF(D32="",0,VLOOKUP(D32,D$22:D31,1,0))</f>
        <v>#N/A</v>
      </c>
      <c r="F32" s="494" t="n">
        <f aca="false">IF(AND(OR(A32="",A32="!!!!!!"),B32="",C32=""),"",IF(OR(AND(B32="",C32=""),ISERROR(C32+B32)),"!!!",($B32*$B$7+$C32*$C$7)/100))</f>
        <v>0.0172</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Pellia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1196</v>
      </c>
      <c r="R32" s="484" t="n">
        <f aca="false">IF(ISTEXT(H32),"",(B32*$B$7/100)+(C32*$C$7/100))</f>
        <v>0.0172</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PELSPX</v>
      </c>
      <c r="Z32" s="470" t="n">
        <f aca="false">IF(ISERROR(MATCH(A32,'liste reference'!$A$6:$A$1174,0)),IF(ISERROR(MATCH(A32,'liste reference'!$B$6:$B$1174,0)),"",(MATCH(A32,'liste reference'!$B$6:$B$1174,0))),(MATCH(A32,'liste reference'!$A$6:$A$1174,0)))</f>
        <v>170</v>
      </c>
    </row>
    <row r="33" customFormat="false" ht="12.75" hidden="false" customHeight="false" outlineLevel="0" collapsed="false">
      <c r="A33" s="489" t="s">
        <v>781</v>
      </c>
      <c r="B33" s="490" t="n">
        <v>0.1</v>
      </c>
      <c r="C33" s="491" t="n">
        <v>0.2</v>
      </c>
      <c r="D33" s="492" t="str">
        <f aca="false">IF(ISERROR(VLOOKUP($A33,'liste reference'!$A$6:$B$1174,2,0)),IF(ISERROR(VLOOKUP($A33,'liste reference'!$B$6:$B$1174,1,0)),"",VLOOKUP($A33,'liste reference'!$B$6:$B$1174,1,0)),VLOOKUP($A33,'liste reference'!$A$6:$B$1174,2,0))</f>
        <v>Didymodon spadiceus</v>
      </c>
      <c r="E33" s="493" t="e">
        <f aca="false">IF(D33="",0,VLOOKUP(D33,D$22:D32,1,0))</f>
        <v>#N/A</v>
      </c>
      <c r="F33" s="494" t="n">
        <f aca="false">IF(AND(OR(A33="",A33="!!!!!!"),B33="",C33=""),"",IF(OR(AND(B33="",C33=""),ISERROR(C33+B33)),"!!!",($B33*$B$7+$C33*$C$7)/100))</f>
        <v>0.128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Didymodon spadiceus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19618</v>
      </c>
      <c r="R33" s="484" t="n">
        <f aca="false">IF(ISTEXT(H33),"",(B33*$B$7/100)+(C33*$C$7/100))</f>
        <v>0.128</v>
      </c>
      <c r="S33" s="485" t="n">
        <f aca="false">IF(OR(ISTEXT(H33),R33=0),"",IF(R33&lt;0.1,1,IF(R33&lt;1,2,IF(R33&lt;10,3,IF(R33&lt;50,4,IF(R33&gt;=50,5,""))))))</f>
        <v>2</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DIDSPA</v>
      </c>
      <c r="Z33" s="470" t="n">
        <f aca="false">IF(ISERROR(MATCH(A33,'liste reference'!$A$6:$A$1174,0)),IF(ISERROR(MATCH(A33,'liste reference'!$B$6:$B$1174,0)),"",(MATCH(A33,'liste reference'!$B$6:$B$1174,0))),(MATCH(A33,'liste reference'!$A$6:$A$1174,0)))</f>
        <v>242</v>
      </c>
    </row>
    <row r="34" customFormat="false" ht="12.75" hidden="false" customHeight="false" outlineLevel="0" collapsed="false">
      <c r="A34" s="489" t="s">
        <v>784</v>
      </c>
      <c r="B34" s="490" t="n">
        <v>0.1</v>
      </c>
      <c r="C34" s="491"/>
      <c r="D34" s="492" t="str">
        <f aca="false">IF(ISERROR(VLOOKUP($A34,'liste reference'!$A$6:$B$1174,2,0)),IF(ISERROR(VLOOKUP($A34,'liste reference'!$B$6:$B$1174,1,0)),"",VLOOKUP($A34,'liste reference'!$B$6:$B$1174,1,0)),VLOOKUP($A34,'liste reference'!$A$6:$B$1174,2,0))</f>
        <v>Didymodon tophaceus</v>
      </c>
      <c r="E34" s="493" t="e">
        <f aca="false">IF(D34="",0,VLOOKUP(D34,D$22:D33,1,0))</f>
        <v>#N/A</v>
      </c>
      <c r="F34" s="494" t="n">
        <f aca="false">IF(AND(OR(A34="",A34="!!!!!!"),B34="",C34=""),"",IF(OR(AND(B34="",C34=""),ISERROR(C34+B34)),"!!!",($B34*$B$7+$C34*$C$7)/100))</f>
        <v>0.072</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Didymodon tophaceus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19619</v>
      </c>
      <c r="R34" s="484" t="n">
        <f aca="false">IF(ISTEXT(H34),"",(B34*$B$7/100)+(C34*$C$7/100))</f>
        <v>0.072</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DIDTOP</v>
      </c>
      <c r="Z34" s="470" t="n">
        <f aca="false">IF(ISERROR(MATCH(A34,'liste reference'!$A$6:$A$1174,0)),IF(ISERROR(MATCH(A34,'liste reference'!$B$6:$B$1174,0)),"",(MATCH(A34,'liste reference'!$B$6:$B$1174,0))),(MATCH(A34,'liste reference'!$A$6:$A$1174,0)))</f>
        <v>243</v>
      </c>
    </row>
    <row r="35" customFormat="false" ht="12.75" hidden="false" customHeight="false" outlineLevel="0" collapsed="false">
      <c r="A35" s="489" t="s">
        <v>830</v>
      </c>
      <c r="B35" s="490" t="n">
        <v>0.1</v>
      </c>
      <c r="C35" s="491"/>
      <c r="D35" s="492" t="str">
        <f aca="false">IF(ISERROR(VLOOKUP($A35,'liste reference'!$A$6:$B$1174,2,0)),IF(ISERROR(VLOOKUP($A35,'liste reference'!$B$6:$B$1174,1,0)),"",VLOOKUP($A35,'liste reference'!$B$6:$B$1174,1,0)),VLOOKUP($A35,'liste reference'!$A$6:$B$1174,2,0))</f>
        <v>Fissidens crassipes</v>
      </c>
      <c r="E35" s="493" t="e">
        <f aca="false">IF(D35="",0,VLOOKUP(D35,D$22:D34,1,0))</f>
        <v>#N/A</v>
      </c>
      <c r="F35" s="494" t="n">
        <f aca="false">IF(AND(OR(A35="",A35="!!!!!!"),B35="",C35=""),"",IF(OR(AND(B35="",C35=""),ISERROR(C35+B35)),"!!!",($B35*$B$7+$C35*$C$7)/100))</f>
        <v>0.072</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Fissidens crassipes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1294</v>
      </c>
      <c r="R35" s="484" t="n">
        <f aca="false">IF(ISTEXT(H35),"",(B35*$B$7/100)+(C35*$C$7/100))</f>
        <v>0.072</v>
      </c>
      <c r="S35" s="485" t="n">
        <f aca="false">IF(OR(ISTEXT(H35),R35=0),"",IF(R35&lt;0.1,1,IF(R35&lt;1,2,IF(R35&lt;10,3,IF(R35&lt;50,4,IF(R35&gt;=50,5,""))))))</f>
        <v>1</v>
      </c>
      <c r="T35" s="485" t="n">
        <f aca="false">IF(ISERROR(S35*J35),0,S35*J35)</f>
        <v>12</v>
      </c>
      <c r="U35" s="485" t="n">
        <f aca="false">IF(ISERROR(S35*J35*K35),0,S35*J35*K35)</f>
        <v>24</v>
      </c>
      <c r="V35" s="501" t="n">
        <f aca="false">IF(ISERROR(S35*K35),0,S35*K35)</f>
        <v>2</v>
      </c>
      <c r="W35" s="502"/>
      <c r="X35" s="503"/>
      <c r="Y35" s="488" t="str">
        <f aca="false">IF(AND(ISNUMBER(F35),OR(A35="",A35="!!!!!!")),"!!!!!!",IF(A35="new.cod","NEWCOD",IF(AND((Z35=""),ISTEXT(A35),A35&lt;&gt;"!!!!!!"),A35,IF(Z35="","",INDEX('liste reference'!$A$6:$A$1174,Z35)))))</f>
        <v>FISCRA</v>
      </c>
      <c r="Z35" s="470" t="n">
        <f aca="false">IF(ISERROR(MATCH(A35,'liste reference'!$A$6:$A$1174,0)),IF(ISERROR(MATCH(A35,'liste reference'!$B$6:$B$1174,0)),"",(MATCH(A35,'liste reference'!$B$6:$B$1174,0))),(MATCH(A35,'liste reference'!$A$6:$A$1174,0)))</f>
        <v>255</v>
      </c>
    </row>
    <row r="36" customFormat="false" ht="12.75" hidden="false" customHeight="false" outlineLevel="0" collapsed="false">
      <c r="A36" s="489" t="s">
        <v>1009</v>
      </c>
      <c r="B36" s="490" t="n">
        <v>0.01</v>
      </c>
      <c r="C36" s="491" t="n">
        <v>0.01</v>
      </c>
      <c r="D36" s="492" t="str">
        <f aca="false">IF(ISERROR(VLOOKUP($A36,'liste reference'!$A$6:$B$1174,2,0)),IF(ISERROR(VLOOKUP($A36,'liste reference'!$B$6:$B$1174,1,0)),"",VLOOKUP($A36,'liste reference'!$B$6:$B$1174,1,0)),VLOOKUP($A36,'liste reference'!$A$6:$B$1174,2,0))</f>
        <v>Palustriella commutata</v>
      </c>
      <c r="E36" s="493" t="e">
        <f aca="false">IF(D36="",0,VLOOKUP(D36,D$22:D35,1,0))</f>
        <v>#N/A</v>
      </c>
      <c r="F36" s="494" t="n">
        <f aca="false">IF(AND(OR(A36="",A36="!!!!!!"),B36="",C36=""),"",IF(OR(AND(B36="",C36=""),ISERROR(C36+B36)),"!!!",($B36*$B$7+$C36*$C$7)/100))</f>
        <v>0.01</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15</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Palustriella commutata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19903</v>
      </c>
      <c r="R36" s="484" t="n">
        <f aca="false">IF(ISTEXT(H36),"",(B36*$B$7/100)+(C36*$C$7/100))</f>
        <v>0.01</v>
      </c>
      <c r="S36" s="485" t="n">
        <f aca="false">IF(OR(ISTEXT(H36),R36=0),"",IF(R36&lt;0.1,1,IF(R36&lt;1,2,IF(R36&lt;10,3,IF(R36&lt;50,4,IF(R36&gt;=50,5,""))))))</f>
        <v>1</v>
      </c>
      <c r="T36" s="485" t="n">
        <f aca="false">IF(ISERROR(S36*J36),0,S36*J36)</f>
        <v>15</v>
      </c>
      <c r="U36" s="485" t="n">
        <f aca="false">IF(ISERROR(S36*J36*K36),0,S36*J36*K36)</f>
        <v>30</v>
      </c>
      <c r="V36" s="501" t="n">
        <f aca="false">IF(ISERROR(S36*K36),0,S36*K36)</f>
        <v>2</v>
      </c>
      <c r="W36" s="502"/>
      <c r="X36" s="503"/>
      <c r="Y36" s="488" t="str">
        <f aca="false">IF(AND(ISNUMBER(F36),OR(A36="",A36="!!!!!!")),"!!!!!!",IF(A36="new.cod","NEWCOD",IF(AND((Z36=""),ISTEXT(A36),A36&lt;&gt;"!!!!!!"),A36,IF(Z36="","",INDEX('liste reference'!$A$6:$A$1174,Z36)))))</f>
        <v>PALCOM</v>
      </c>
      <c r="Z36" s="470" t="n">
        <f aca="false">IF(ISERROR(MATCH(A36,'liste reference'!$A$6:$A$1174,0)),IF(ISERROR(MATCH(A36,'liste reference'!$B$6:$B$1174,0)),"",(MATCH(A36,'liste reference'!$B$6:$B$1174,0))),(MATCH(A36,'liste reference'!$A$6:$A$1174,0)))</f>
        <v>309</v>
      </c>
    </row>
    <row r="37" customFormat="false" ht="12.75" hidden="false" customHeight="false" outlineLevel="0" collapsed="false">
      <c r="A37" s="489" t="s">
        <v>2728</v>
      </c>
      <c r="B37" s="490" t="n">
        <v>0.1</v>
      </c>
      <c r="C37" s="491"/>
      <c r="D37" s="492" t="str">
        <f aca="false">IF(ISERROR(VLOOKUP($A37,'liste reference'!$A$6:$B$1174,2,0)),IF(ISERROR(VLOOKUP($A37,'liste reference'!$B$6:$B$1174,1,0)),"",VLOOKUP($A37,'liste reference'!$B$6:$B$1174,1,0)),VLOOKUP($A37,'liste reference'!$A$6:$B$1174,2,0))</f>
        <v>Molinia caerulea subsp. arundinacea </v>
      </c>
      <c r="E37" s="493" t="e">
        <f aca="false">IF(D37="",0,VLOOKUP(D37,D$22:D36,1,0))</f>
        <v>#N/A</v>
      </c>
      <c r="F37" s="494" t="n">
        <f aca="false">IF(AND(OR(A37="",A37="!!!!!!"),B37="",C37=""),"",IF(OR(AND(B37="",C37=""),ISERROR(C37+B37)),"!!!",($B37*$B$7+$C37*$C$7)/100))</f>
        <v>0.072</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Molinia caerulea subsp. arundinacea </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31584</v>
      </c>
      <c r="R37" s="484" t="n">
        <f aca="false">IF(ISTEXT(H37),"",(B37*$B$7/100)+(C37*$C$7/100))</f>
        <v>0.072</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MOLCAA</v>
      </c>
      <c r="Z37" s="470" t="n">
        <f aca="false">IF(ISERROR(MATCH(A37,'liste reference'!$A$6:$A$1174,0)),IF(ISERROR(MATCH(A37,'liste reference'!$B$6:$B$1174,0)),"",(MATCH(A37,'liste reference'!$B$6:$B$1174,0))),(MATCH(A37,'liste reference'!$A$6:$A$1174,0)))</f>
        <v>914</v>
      </c>
    </row>
    <row r="38" customFormat="false" ht="12.75" hidden="false" customHeight="false" outlineLevel="0" collapsed="false">
      <c r="A38" s="489" t="s">
        <v>3450</v>
      </c>
      <c r="B38" s="490"/>
      <c r="C38" s="491" t="n">
        <v>0.1</v>
      </c>
      <c r="D38" s="492" t="str">
        <f aca="false">IF(ISERROR(VLOOKUP($A38,'liste reference'!$A$6:$B$1174,2,0)),IF(ISERROR(VLOOKUP($A38,'liste reference'!$B$6:$B$1174,1,0)),"",VLOOKUP($A38,'liste reference'!$B$6:$B$1174,1,0)),VLOOKUP($A38,'liste reference'!$A$6:$B$1174,2,0))</f>
        <v/>
      </c>
      <c r="E38" s="493" t="n">
        <f aca="false">IF(D38="",0,VLOOKUP(D38,D$22:D37,1,0))</f>
        <v>0</v>
      </c>
      <c r="F38" s="494" t="n">
        <f aca="false">IF(AND(OR(A38="",A38="!!!!!!"),B38="",C38=""),"",IF(OR(AND(B38="",C38=""),ISERROR(C38+B38)),"!!!",($B38*$B$7+$C38*$C$7)/100))</f>
        <v>0.028</v>
      </c>
      <c r="G38" s="495" t="str">
        <f aca="false">IF(A38="","",IF(ISERROR(VLOOKUP($A38,'liste reference'!$A$6:$Q$1174,9,0)),IF(ISERROR(VLOOKUP($A38,'liste reference'!$B$6:$Q$1174,8,0)),"    -",VLOOKUP($A38,'liste reference'!$B$6:$Q$1174,8,0)),VLOOKUP($A38,'liste reference'!$A$6:$Q$1174,9,0)))</f>
        <v>    -</v>
      </c>
      <c r="H38" s="496" t="str">
        <f aca="false">IF(A38="","x",IF(ISERROR(VLOOKUP($A38,'liste reference'!$A$6:$Q$1174,10,0)),IF(ISERROR(VLOOKUP($A38,'liste reference'!$B$6:$Q$1174,9,0)),"x",VLOOKUP($A38,'liste reference'!$B$6:$Q$1174,9,0)),VLOOKUP($A38,'liste reference'!$A$6:$Q$1174,10,0)))</f>
        <v>x</v>
      </c>
      <c r="I38" s="281" t="n">
        <f aca="false">IF(A38="","",1)</f>
        <v>1</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Cymbellaceae</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4856</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t="s">
        <v>3451</v>
      </c>
      <c r="X38" s="503" t="n">
        <v>4856</v>
      </c>
      <c r="Y38" s="488" t="str">
        <f aca="false">IF(AND(ISNUMBER(F38),OR(A38="",A38="!!!!!!")),"!!!!!!",IF(A38="new.cod","NEWCOD",IF(AND((Z38=""),ISTEXT(A38),A38&lt;&gt;"!!!!!!"),A38,IF(Z38="","",INDEX('liste reference'!$A$6:$A$1174,Z38)))))</f>
        <v>NEWCOD</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t="s">
        <v>3450</v>
      </c>
      <c r="B39" s="490" t="n">
        <v>0.1</v>
      </c>
      <c r="C39" s="491"/>
      <c r="D39" s="492" t="str">
        <f aca="false">IF(ISERROR(VLOOKUP($A39,'liste reference'!$A$6:$B$1174,2,0)),IF(ISERROR(VLOOKUP($A39,'liste reference'!$B$6:$B$1174,1,0)),"",VLOOKUP($A39,'liste reference'!$B$6:$B$1174,1,0)),VLOOKUP($A39,'liste reference'!$A$6:$B$1174,2,0))</f>
        <v/>
      </c>
      <c r="E39" s="493" t="n">
        <f aca="false">IF(D39="",0,VLOOKUP(D39,D$22:D38,1,0))</f>
        <v>0</v>
      </c>
      <c r="F39" s="494" t="n">
        <f aca="false">IF(AND(OR(A39="",A39="!!!!!!"),B39="",C39=""),"",IF(OR(AND(B39="",C39=""),ISERROR(C39+B39)),"!!!",($B39*$B$7+$C39*$C$7)/100))</f>
        <v>0.072</v>
      </c>
      <c r="G39" s="495" t="str">
        <f aca="false">IF(A39="","",IF(ISERROR(VLOOKUP($A39,'liste reference'!$A$6:$Q$1174,9,0)),IF(ISERROR(VLOOKUP($A39,'liste reference'!$B$6:$Q$1174,8,0)),"    -",VLOOKUP($A39,'liste reference'!$B$6:$Q$1174,8,0)),VLOOKUP($A39,'liste reference'!$A$6:$Q$1174,9,0)))</f>
        <v>    -</v>
      </c>
      <c r="H39" s="496" t="str">
        <f aca="false">IF(A39="","x",IF(ISERROR(VLOOKUP($A39,'liste reference'!$A$6:$Q$1174,10,0)),IF(ISERROR(VLOOKUP($A39,'liste reference'!$B$6:$Q$1174,9,0)),"x",VLOOKUP($A39,'liste reference'!$B$6:$Q$1174,9,0)),VLOOKUP($A39,'liste reference'!$A$6:$Q$1174,10,0)))</f>
        <v>x</v>
      </c>
      <c r="I39" s="281" t="n">
        <f aca="false">IF(A39="","",1)</f>
        <v>1</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Pohlia sp.</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34943</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t="s">
        <v>3452</v>
      </c>
      <c r="X39" s="503" t="n">
        <v>34943</v>
      </c>
      <c r="Y39" s="488" t="str">
        <f aca="false">IF(AND(ISNUMBER(F39),OR(A39="",A39="!!!!!!")),"!!!!!!",IF(A39="new.cod","NEWCOD",IF(AND((Z39=""),ISTEXT(A39),A39&lt;&gt;"!!!!!!"),A39,IF(Z39="","",INDEX('liste reference'!$A$6:$A$1174,Z39)))))</f>
        <v>NEWCOD</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0.648</v>
      </c>
      <c r="G83" s="424"/>
      <c r="H83" s="424"/>
      <c r="I83" s="424"/>
      <c r="J83" s="424"/>
      <c r="K83" s="424"/>
      <c r="L83" s="424"/>
      <c r="M83" s="485"/>
      <c r="N83" s="485"/>
      <c r="O83" s="485"/>
      <c r="P83" s="485"/>
      <c r="Q83" s="485"/>
      <c r="R83" s="485"/>
      <c r="S83" s="485"/>
      <c r="T83" s="485"/>
      <c r="U83" s="485"/>
      <c r="V83" s="485" t="n">
        <f aca="false">SUM(V23:V82)</f>
        <v>13</v>
      </c>
      <c r="W83" s="485"/>
      <c r="X83" s="523"/>
      <c r="Y83" s="523"/>
      <c r="Z83" s="524"/>
    </row>
    <row r="84" customFormat="false" ht="12.75" hidden="true" customHeight="false" outlineLevel="0" collapsed="false">
      <c r="A84" s="518" t="str">
        <f aca="false">A3</f>
        <v>PAILLON DE CONTES</v>
      </c>
      <c r="B84" s="453" t="str">
        <f aca="false">C3</f>
        <v>PAILLON DE CONTES A COARAZE 1</v>
      </c>
      <c r="C84" s="525" t="str">
        <f aca="false">A4</f>
        <v>(Date)</v>
      </c>
      <c r="D84" s="526" t="n">
        <f aca="false">IF(OR(ISERROR(SUM($U$23:$U$82)/SUM($V$23:$V$82)),F7&lt;&gt;100),-1,SUM($U$23:$U$82)/SUM($V$23:$V$82))</f>
        <v>14.6923076923077</v>
      </c>
      <c r="E84" s="527" t="n">
        <f aca="false">O13</f>
        <v>17</v>
      </c>
      <c r="F84" s="453" t="n">
        <f aca="false">O14</f>
        <v>6</v>
      </c>
      <c r="G84" s="453" t="n">
        <f aca="false">O15</f>
        <v>1</v>
      </c>
      <c r="H84" s="453" t="n">
        <f aca="false">O16</f>
        <v>3</v>
      </c>
      <c r="I84" s="453" t="n">
        <f aca="false">O17</f>
        <v>2</v>
      </c>
      <c r="J84" s="528" t="n">
        <f aca="false">O8</f>
        <v>14</v>
      </c>
      <c r="K84" s="529" t="n">
        <f aca="false">O9</f>
        <v>3.16227766016838</v>
      </c>
      <c r="L84" s="530" t="n">
        <f aca="false">O10</f>
        <v>9</v>
      </c>
      <c r="M84" s="530" t="n">
        <f aca="false">O11</f>
        <v>19</v>
      </c>
      <c r="N84" s="529" t="n">
        <f aca="false">P8</f>
        <v>2.16666666666667</v>
      </c>
      <c r="O84" s="529" t="n">
        <f aca="false">P9</f>
        <v>0.687184270936277</v>
      </c>
      <c r="P84" s="530" t="n">
        <f aca="false">P10</f>
        <v>1</v>
      </c>
      <c r="Q84" s="530" t="n">
        <f aca="false">P11</f>
        <v>3</v>
      </c>
      <c r="R84" s="530" t="n">
        <f aca="false">F21</f>
        <v>0.648</v>
      </c>
      <c r="S84" s="530" t="n">
        <f aca="false">L11</f>
        <v>0</v>
      </c>
      <c r="T84" s="530" t="n">
        <f aca="false">L12</f>
        <v>6</v>
      </c>
      <c r="U84" s="530" t="n">
        <f aca="false">L13</f>
        <v>8</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13</v>
      </c>
      <c r="U87" s="281"/>
      <c r="V87" s="281"/>
    </row>
    <row r="88" customFormat="false" ht="12.75" hidden="true" customHeight="false" outlineLevel="0" collapsed="false">
      <c r="C88" s="534"/>
      <c r="D88" s="534"/>
      <c r="E88" s="534"/>
      <c r="R88" s="281" t="s">
        <v>3455</v>
      </c>
      <c r="S88" s="281"/>
      <c r="T88" s="536" t="n">
        <f aca="false">VLOOKUP($T$91,($A$23:$U$82),21,0)</f>
        <v>39</v>
      </c>
      <c r="U88" s="281"/>
      <c r="V88" s="281" t="n">
        <f aca="false">COUNTIF(V23:V82,T89)</f>
        <v>2</v>
      </c>
    </row>
    <row r="89" customFormat="false" ht="12.75" hidden="true" customHeight="false" outlineLevel="0" collapsed="false">
      <c r="C89" s="534"/>
      <c r="D89" s="534"/>
      <c r="E89" s="534"/>
      <c r="R89" s="281" t="s">
        <v>3456</v>
      </c>
      <c r="S89" s="281"/>
      <c r="T89" s="536" t="n">
        <f aca="false">MAX($V$23:$V$82)</f>
        <v>3</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15.2</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3459</v>
      </c>
      <c r="S92" s="281"/>
      <c r="T92" s="281" t="n">
        <f aca="false">MATCH(T89,$V$23:$V$82,0)</f>
        <v>6</v>
      </c>
      <c r="U92" s="281"/>
    </row>
    <row r="93" customFormat="false" ht="12.75" hidden="true" customHeight="false" outlineLevel="0" collapsed="false">
      <c r="C93" s="534"/>
      <c r="D93" s="534"/>
      <c r="E93" s="534"/>
      <c r="R93" s="485" t="s">
        <v>3460</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3461</v>
      </c>
      <c r="B2" s="286"/>
      <c r="C2" s="287" t="s">
        <v>3462</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3463</v>
      </c>
      <c r="B3" s="286"/>
      <c r="C3" s="285" t="s">
        <v>3464</v>
      </c>
      <c r="D3" s="296"/>
      <c r="E3" s="296"/>
      <c r="F3" s="297"/>
      <c r="G3" s="297"/>
      <c r="H3" s="296"/>
      <c r="I3" s="281"/>
      <c r="J3" s="288"/>
      <c r="K3" s="298"/>
      <c r="L3" s="299" t="s">
        <v>3465</v>
      </c>
      <c r="M3" s="300"/>
      <c r="N3" s="301" t="s">
        <v>3466</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3467</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0</v>
      </c>
      <c r="U87" s="281"/>
      <c r="V87" s="281"/>
    </row>
    <row r="88" customFormat="false" ht="12.75" hidden="true" customHeight="false" outlineLevel="0" collapsed="false">
      <c r="C88" s="534"/>
      <c r="D88" s="534"/>
      <c r="E88" s="534"/>
      <c r="R88" s="281" t="s">
        <v>3455</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3456</v>
      </c>
      <c r="S89" s="281"/>
      <c r="T89" s="536" t="n">
        <f aca="false">MAX($V$23:$V$82)</f>
        <v>0</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3380</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3450</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3389</v>
      </c>
      <c r="G22" s="8"/>
      <c r="H22" s="575" t="s">
        <v>3389</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vbou</cp:lastModifiedBy>
  <cp:lastPrinted>2017-11-28T14:59:56Z</cp:lastPrinted>
  <dcterms:modified xsi:type="dcterms:W3CDTF">2017-12-01T08:36:45Z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