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ar Touet"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'Var Touet'!$A$1:$O$82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'Var Touet'!$A$23:$J$84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<sst xmlns="http://schemas.openxmlformats.org/spreadsheetml/2006/main" count="7344" uniqueCount="2728">
  <si>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</si>
  <si>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</si>
  <si>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</si>
  <si>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</si>
  <si>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</si>
  <si>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</si>
  <si>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</si>
  <si>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</si>
  <si>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</si>
  <si>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</si>
  <si>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</si>
  <si>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</si>
  <si>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</si>
  <si>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</si>
  <si>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</si>
  <si>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</si>
  <si>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</si>
  <si>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</si>
  <si>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</si>
  <si>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</si>
  <si>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</si>
  <si>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</si>
  <si>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</si>
  <si>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</si>
  <si>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</si>
  <si>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</si>
  <si>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</si>
  <si>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</si>
  <si>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</si>
  <si>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</si>
  <si>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</si>
  <si>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</si>
  <si>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</si>
  <si>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</si>
  <si>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</si>
  <si>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</si>
  <si>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</si>
  <si>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</si>
  <si>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</si>
  <si>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</si>
  <si>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</si>
  <si>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</si>
  <si>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</si>
  <si>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</si>
  <si>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</si>
  <si>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</si>
  <si>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</si>
  <si>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</si>
  <si>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</si>
  <si>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</si>
  <si>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</si>
  <si>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</si>
  <si>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</si>
  <si>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</si>
  <si>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</si>
  <si>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</si>
  <si>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</si>
  <si>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</si>
  <si>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</si>
  <si>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</si>
  <si>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</si>
  <si>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</si>
  <si>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</si>
  <si>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</si>
  <si>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</si>
  <si>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</si>
  <si>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</si>
  <si>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</si>
  <si>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</si>
  <si>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</si>
  <si>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</si>
  <si>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</si>
  <si>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</si>
  <si>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</si>
  <si>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</si>
  <si>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</si>
  <si>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</si>
  <si>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</si>
  <si>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</si>
  <si>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</si>
  <si>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</si>
  <si>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</si>
  <si>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</si>
  <si>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</si>
  <si>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</si>
  <si>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</si>
  <si>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</si>
  <si>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</si>
  <si>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</si>
  <si>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</si>
  <si>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</si>
  <si>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</si>
  <si>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</si>
  <si>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</si>
  <si>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</si>
  <si>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</si>
  <si>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</si>
  <si>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</si>
  <si>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</si>
  <si>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</si>
  <si>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</si>
  <si>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</si>
  <si>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</si>
  <si>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</si>
  <si>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</si>
  <si>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</si>
  <si>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</si>
  <si>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</si>
  <si>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</si>
  <si>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</si>
  <si>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</si>
  <si>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</si>
  <si>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</si>
  <si>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</si>
  <si>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</si>
  <si>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</si>
  <si>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</si>
  <si>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</si>
  <si>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</si>
  <si>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</si>
  <si>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</si>
  <si>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</si>
  <si>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</si>
  <si>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</si>
  <si>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</si>
  <si>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</si>
  <si>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</si>
  <si>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</si>
  <si>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</si>
  <si>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</si>
  <si>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</si>
  <si>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</si>
  <si>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</si>
  <si>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</si>
  <si>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</si>
  <si>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</si>
  <si>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</si>
  <si>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</si>
  <si>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</si>
  <si>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</si>
  <si>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</si>
  <si>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</si>
  <si>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</si>
  <si>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</si>
  <si>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</si>
  <si>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</si>
  <si>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</si>
  <si>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</si>
  <si>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</si>
  <si>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</si>
  <si>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</si>
  <si>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</si>
  <si>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</si>
  <si>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</si>
  <si>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</si>
  <si>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</si>
  <si>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</si>
  <si>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</si>
  <si>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</si>
  <si>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</si>
  <si>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</si>
  <si>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</si>
  <si>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</si>
  <si>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</si>
  <si>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</si>
  <si>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</si>
  <si>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</si>
  <si>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</si>
  <si>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</si>
  <si>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</si>
  <si>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</si>
  <si>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</si>
  <si>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</si>
  <si>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</si>
  <si>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</si>
  <si>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</si>
  <si>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</si>
  <si>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</si>
  <si>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</si>
  <si>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</si>
  <si>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</si>
  <si>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</si>
  <si>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</si>
  <si>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</si>
  <si>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</si>
  <si>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</si>
  <si>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</si>
  <si>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</si>
  <si>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</si>
  <si>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</si>
  <si>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</si>
  <si>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</si>
  <si>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</si>
  <si>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</si>
  <si>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</si>
  <si>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</si>
  <si>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</si>
  <si>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</si>
  <si>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</si>
  <si>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</si>
  <si>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</si>
  <si>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</si>
  <si>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</si>
  <si>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</si>
  <si>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</si>
  <si>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</si>
  <si>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</si>
  <si>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</si>
  <si>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</si>
  <si>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</si>
  <si>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</si>
  <si>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</si>
  <si>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</si>
  <si>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</si>
  <si>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</si>
  <si>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</si>
  <si>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</si>
  <si>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</si>
  <si>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</si>
  <si>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</si>
  <si>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</si>
  <si>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</si>
  <si>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</si>
  <si>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</si>
  <si>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</si>
  <si>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</si>
  <si>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</si>
  <si>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</si>
  <si>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</si>
  <si>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</si>
  <si>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</si>
  <si>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</si>
  <si>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</si>
  <si>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</si>
  <si>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</si>
  <si>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</si>
  <si>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</si>
  <si>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</si>
  <si>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</si>
  <si>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</si>
  <si>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</si>
  <si>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</si>
  <si>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</si>
  <si>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</si>
  <si>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</si>
  <si>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</si>
  <si>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</si>
  <si>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</si>
  <si>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</si>
  <si>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</si>
  <si>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</si>
  <si>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</si>
  <si>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</si>
  <si>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</si>
  <si>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</si>
  <si>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</si>
  <si>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</si>
  <si>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</si>
  <si>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</si>
  <si>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</si>
  <si>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</si>
  <si>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</si>
  <si>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</si>
  <si>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</si>
  <si>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</si>
  <si>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</si>
  <si>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</si>
  <si>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</si>
  <si>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</si>
  <si>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</si>
  <si>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</si>
  <si>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</si>
  <si>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</si>
  <si>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</si>
  <si>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</si>
  <si>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</si>
  <si>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</si>
  <si>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</si>
  <si>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</si>
  <si>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</si>
  <si>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</si>
  <si>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</si>
  <si>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</si>
  <si>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</si>
  <si>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</si>
  <si>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</si>
  <si>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</si>
  <si>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</si>
  <si>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</si>
  <si>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</si>
  <si>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</si>
  <si>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</si>
  <si>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</si>
  <si>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</si>
  <si>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</si>
  <si>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</si>
  <si>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</si>
  <si>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</si>
  <si>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</si>
  <si>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</si>
  <si>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</si>
  <si>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</si>
  <si>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</si>
  <si>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</si>
  <si>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</si>
  <si>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</si>
  <si>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</si>
  <si>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</si>
  <si>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</si>
  <si>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</si>
  <si>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</si>
  <si>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</si>
  <si>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</si>
  <si>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</si>
  <si>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</si>
  <si>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</si>
  <si>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</si>
  <si>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</si>
  <si>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</si>
  <si>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</si>
  <si>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</si>
  <si>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</si>
  <si>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</si>
  <si>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</si>
  <si>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</si>
  <si>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</si>
  <si>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</si>
  <si>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</si>
  <si>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</si>
  <si>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</si>
  <si>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</si>
  <si>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</si>
  <si>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</si>
  <si>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</si>
  <si>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</si>
  <si>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</si>
  <si>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</si>
  <si>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</si>
  <si>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</si>
  <si>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</si>
  <si>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</si>
  <si>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</si>
  <si>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</si>
  <si>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</si>
  <si>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</si>
  <si>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</si>
  <si>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</si>
  <si>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</si>
  <si>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</si>
  <si>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</si>
  <si>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</si>
  <si>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</si>
  <si>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</si>
  <si>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</si>
  <si>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</si>
  <si>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</si>
  <si>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</si>
  <si>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</si>
  <si>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</si>
  <si>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</si>
  <si>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</si>
  <si>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</si>
  <si>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</si>
  <si>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</si>
  <si>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</si>
  <si>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</si>
  <si>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</si>
  <si>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</si>
  <si>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</si>
  <si>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</si>
  <si>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</si>
  <si>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</si>
  <si>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</si>
  <si>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</si>
  <si>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</si>
  <si>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</si>
  <si>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</si>
  <si>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</si>
  <si>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</si>
  <si>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</si>
  <si>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</si>
  <si>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</si>
  <si>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</si>
  <si>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</si>
  <si>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</si>
  <si>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</si>
  <si>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</si>
  <si>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</si>
  <si>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</si>
  <si>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</si>
  <si>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</si>
  <si>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</si>
  <si>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</si>
  <si>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</si>
  <si>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</si>
  <si>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</si>
  <si>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</si>
  <si>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</si>
  <si>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</si>
  <si>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</si>
  <si>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</si>
  <si>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</si>
  <si>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</si>
  <si>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</si>
  <si>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</si>
  <si>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</si>
  <si>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</si>
  <si>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</si>
  <si>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</si>
  <si>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</si>
  <si>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</si>
  <si>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</si>
  <si>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</si>
  <si>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</si>
  <si>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</si>
  <si>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</si>
  <si>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</si>
  <si>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</si>
  <si>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</si>
  <si>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</si>
  <si>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</si>
  <si>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</si>
  <si>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</si>
  <si>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</si>
  <si>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</si>
  <si>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</si>
  <si>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</si>
  <si>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</si>
  <si>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</si>
  <si>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</si>
  <si>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</si>
  <si>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</si>
  <si>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</si>
  <si>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</si>
  <si>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</si>
  <si>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</si>
  <si>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</si>
  <si>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</si>
  <si>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</si>
  <si>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</si>
  <si>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</si>
  <si>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</si>
  <si>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</si>
  <si>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</si>
  <si>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</si>
  <si>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</si>
  <si>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</si>
  <si>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</si>
  <si>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</si>
  <si>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</si>
  <si>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</si>
  <si>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</si>
  <si>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</si>
  <si>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</si>
  <si>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</si>
  <si>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</si>
  <si>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</si>
  <si>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</si>
  <si>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</si>
  <si>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</si>
  <si>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</si>
  <si>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</si>
  <si>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</si>
  <si>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</si>
  <si>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</si>
  <si>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</si>
  <si>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</si>
  <si>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</si>
  <si>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</si>
  <si>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</si>
  <si>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</si>
  <si>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</si>
  <si>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</si>
  <si>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</si>
  <si>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</si>
  <si>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</si>
  <si>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</si>
  <si>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</si>
  <si>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</si>
  <si>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</si>
  <si>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</si>
  <si>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</si>
  <si>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</si>
  <si>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</si>
  <si>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</si>
  <si>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</si>
  <si>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</si>
  <si>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</si>
  <si>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</si>
  <si>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</si>
  <si>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</si>
  <si>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</si>
  <si>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</si>
  <si>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</si>
  <si>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</si>
  <si>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</si>
  <si>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</si>
  <si>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</si>
  <si>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</si>
  <si>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</si>
  <si>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</si>
  <si>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</si>
  <si>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</si>
  <si>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</si>
  <si>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</si>
  <si>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</si>
  <si>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</si>
  <si>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</si>
  <si>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</si>
  <si>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</si>
  <si>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</si>
  <si>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</si>
  <si>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</si>
  <si>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</si>
  <si>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</si>
  <si>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</si>
  <si>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</si>
  <si>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</si>
  <si>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</si>
  <si>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</si>
  <si>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</si>
  <si>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</si>
  <si>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</si>
  <si>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</si>
  <si>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</si>
  <si>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</si>
  <si>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</si>
  <si>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</si>
  <si>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</si>
  <si>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</si>
  <si>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</si>
  <si>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</si>
  <si>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</si>
  <si>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</si>
  <si>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</si>
  <si>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</si>
  <si>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</si>
  <si>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</si>
  <si>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</si>
  <si>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</si>
  <si>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</si>
  <si>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</si>
  <si>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</si>
  <si>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</si>
  <si>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</si>
  <si>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</si>
  <si>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</si>
  <si>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</si>
  <si>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</si>
  <si>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</si>
  <si>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</si>
  <si>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</si>
  <si>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</si>
  <si>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</si>
  <si>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</si>
  <si>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</si>
  <si>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</si>
  <si>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</si>
  <si>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</si>
  <si>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</si>
  <si>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</si>
  <si>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</si>
  <si>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</si>
  <si>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</si>
  <si>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</si>
  <si>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</si>
  <si>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</si>
  <si>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</si>
  <si>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</si>
  <si>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</si>
  <si>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</si>
  <si>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</si>
  <si>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</si>
  <si>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</si>
  <si>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</si>
  <si>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</si>
  <si>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</si>
  <si>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</si>
  <si>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</si>
  <si>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</si>
  <si>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</si>
  <si>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</si>
  <si>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</si>
  <si>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</si>
  <si>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</si>
  <si>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</si>
  <si>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</si>
  <si>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</si>
  <si>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</si>
  <si>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</si>
  <si>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</si>
  <si>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</si>
  <si>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</si>
  <si>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</si>
  <si>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</si>
  <si>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</si>
  <si>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</si>
  <si>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</si>
  <si>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</si>
  <si>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</si>
  <si>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</si>
  <si>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</si>
  <si>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</si>
  <si>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</si>
  <si>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</si>
  <si>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</si>
  <si>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</si>
  <si>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</si>
  <si>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</si>
  <si>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</si>
  <si>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</si>
  <si>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</si>
  <si>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</si>
  <si>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</si>
  <si>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</si>
  <si>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</si>
  <si>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</si>
  <si>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</si>
  <si>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</si>
  <si>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</si>
  <si>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</si>
  <si>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</si>
  <si>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</si>
  <si>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</si>
  <si>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</si>
  <si>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</si>
  <si>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</si>
  <si>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</si>
  <si>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</si>
  <si>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</si>
  <si>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</si>
  <si>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</si>
  <si>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</si>
  <si>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</si>
  <si>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</si>
  <si>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</si>
  <si>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</si>
  <si>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</si>
  <si>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</si>
  <si>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</si>
  <si>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</si>
  <si>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</si>
  <si>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</si>
  <si>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</si>
  <si>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</si>
  <si>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</si>
  <si>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</si>
  <si>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</si>
  <si>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</si>
  <si>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</si>
  <si>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</si>
  <si>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</si>
  <si>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</si>
  <si>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</si>
  <si>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</si>
  <si>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</si>
  <si>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</si>
  <si>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</si>
  <si>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</si>
  <si>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</si>
  <si>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</si>
  <si>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</si>
  <si>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</si>
  <si>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</si>
  <si>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</si>
  <si>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</si>
  <si>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</si>
  <si>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</si>
  <si>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</si>
  <si>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</si>
  <si>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</si>
  <si>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</si>
  <si>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</si>
  <si>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</si>
  <si>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</si>
  <si>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</si>
  <si>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</si>
  <si>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</si>
  <si>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</si>
  <si>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</si>
  <si>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</si>
  <si>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</si>
  <si>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</si>
  <si>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</si>
  <si>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</si>
  <si>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</si>
  <si>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</si>
  <si>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</si>
  <si>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</si>
  <si>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</si>
  <si>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</si>
  <si>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</si>
  <si>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</si>
  <si>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</si>
  <si>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</si>
  <si>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</si>
  <si>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</si>
  <si>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</si>
  <si>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</si>
  <si>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</si>
  <si>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</si>
  <si>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</si>
  <si>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</si>
  <si>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</si>
  <si>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</si>
  <si>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</si>
  <si>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</si>
  <si>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</si>
  <si>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</si>
  <si>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</si>
  <si>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</si>
  <si>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</si>
  <si>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</si>
  <si>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</si>
  <si>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</si>
  <si>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</si>
  <si>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</si>
  <si>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</si>
  <si>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</si>
  <si>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</si>
  <si>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</si>
  <si>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</si>
  <si>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</si>
  <si>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</si>
  <si>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</si>
  <si>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</si>
  <si>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</si>
  <si>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</si>
  <si>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</si>
  <si>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</si>
  <si>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</si>
  <si>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</si>
  <si>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</si>
  <si>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</si>
  <si>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</si>
  <si>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</si>
  <si>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</si>
  <si>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</si>
  <si>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</si>
  <si>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</si>
  <si>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</si>
  <si>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</si>
  <si>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</si>
  <si>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</si>
  <si>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</si>
  <si>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</si>
  <si>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</si>
  <si>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</si>
  <si>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</si>
  <si>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</si>
  <si>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</si>
  <si>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</si>
  <si>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</si>
  <si>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</si>
  <si>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</si>
  <si>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</si>
  <si>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</si>
  <si>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</si>
  <si>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</si>
  <si>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</si>
  <si>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</si>
  <si>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</si>
  <si>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</si>
  <si>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</si>
  <si>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</si>
  <si>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</si>
  <si>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</si>
  <si>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</si>
  <si>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</si>
  <si>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</si>
  <si>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</si>
  <si>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</si>
  <si>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</si>
  <si>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</si>
  <si>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</si>
  <si>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</si>
  <si>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</si>
  <si>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</si>
  <si>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</si>
  <si>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</si>
  <si>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</si>
  <si>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</si>
  <si>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</si>
  <si>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</si>
  <si>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</si>
  <si>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</si>
  <si>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</si>
  <si>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</si>
  <si>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</si>
  <si>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</si>
  <si>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</si>
  <si>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</si>
  <si>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</si>
  <si>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</si>
  <si>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</si>
  <si>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</si>
  <si>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</si>
  <si>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</si>
  <si>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</si>
  <si>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</si>
  <si>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</si>
  <si>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</si>
  <si>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</si>
  <si>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</si>
  <si>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</si>
  <si>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</si>
  <si>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</si>
  <si>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</si>
  <si>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</si>
  <si>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</si>
  <si>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</si>
  <si>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</si>
  <si>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</si>
  <si>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</si>
  <si>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</si>
  <si>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</si>
  <si>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</si>
  <si>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</si>
  <si>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</si>
  <si>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</si>
  <si>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</si>
  <si>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</si>
  <si>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</si>
  <si>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</si>
  <si>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</si>
  <si>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</si>
  <si>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</si>
  <si>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</si>
  <si>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</si>
  <si>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</si>
  <si>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</si>
  <si>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</si>
  <si>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</si>
  <si>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</si>
  <si>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</si>
  <si>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</si>
  <si>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</si>
  <si>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</si>
  <si>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</si>
  <si>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</si>
  <si>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</si>
  <si>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</si>
  <si>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</si>
  <si>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</si>
  <si>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</si>
  <si>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</si>
  <si>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</si>
  <si>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</si>
  <si>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</si>
  <si>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</si>
  <si>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</si>
  <si>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</si>
  <si>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</si>
  <si>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</si>
  <si>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</si>
  <si>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</si>
  <si>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</si>
  <si>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</si>
  <si>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</si>
  <si>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</si>
  <si>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</si>
  <si>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</si>
  <si>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</si>
  <si>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</si>
  <si>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</si>
  <si>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</si>
  <si>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</si>
  <si>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</si>
  <si>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</si>
  <si>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</si>
  <si>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</si>
  <si>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</si>
  <si>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</si>
  <si>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</si>
  <si>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</si>
  <si>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</si>
  <si>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</si>
  <si>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</si>
  <si>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</si>
  <si>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</si>
  <si>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</si>
  <si>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</si>
  <si>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</si>
  <si>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</si>
  <si>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</si>
  <si>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</si>
  <si>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</si>
  <si>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</si>
  <si>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</si>
  <si>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</si>
  <si>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</si>
  <si>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</si>
  <si>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</si>
  <si>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</si>
  <si>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</si>
  <si>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</si>
  <si>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</si>
  <si>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</si>
  <si>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</si>
  <si>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</si>
  <si>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</si>
  <si>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</si>
  <si>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</si>
  <si>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</si>
  <si>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</si>
  <si>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</si>
  <si>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</si>
  <si>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</si>
  <si>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</si>
  <si>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</si>
  <si>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</si>
  <si>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</si>
  <si>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</si>
  <si>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</si>
  <si>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</si>
  <si>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</si>
  <si>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</si>
  <si>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</si>
  <si>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</si>
  <si>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</si>
  <si>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</si>
  <si>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</si>
  <si>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</si>
  <si>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</si>
  <si>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</si>
  <si>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</si>
  <si>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</si>
  <si>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</si>
  <si>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</si>
  <si>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</si>
  <si>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</si>
  <si>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</si>
  <si>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</si>
  <si>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</si>
  <si>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</si>
  <si>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</si>
  <si>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</si>
  <si>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</si>
  <si>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</si>
  <si>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</si>
  <si>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</si>
  <si>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</si>
  <si>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</si>
  <si>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</si>
  <si>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</si>
  <si>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</si>
  <si>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</si>
  <si>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</si>
  <si>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</si>
  <si>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</si>
  <si>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</si>
  <si>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</si>
  <si>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</si>
  <si>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</si>
  <si>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</si>
  <si>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</si>
  <si>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</si>
  <si>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</si>
  <si>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</si>
  <si>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</si>
  <si>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</si>
  <si>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</si>
  <si>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</si>
  <si>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</si>
  <si>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</si>
  <si>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</si>
  <si>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</si>
  <si>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</si>
  <si>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</si>
  <si>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</si>
  <si>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</si>
  <si>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</si>
  <si>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</si>
  <si>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</si>
  <si>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</si>
  <si>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</si>
  <si>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</si>
  <si>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</si>
  <si>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</si>
  <si>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</si>
  <si>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</si>
  <si>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</si>
  <si>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</si>
  <si>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</si>
  <si>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</si>
  <si>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</si>
  <si>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</si>
  <si>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</si>
  <si>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</si>
  <si>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</si>
  <si>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</si>
  <si>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</si>
  <si>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</si>
  <si>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</si>
  <si>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</si>
  <si>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</si>
  <si>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</si>
  <si>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</si>
  <si>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</si>
  <si>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</si>
  <si>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</si>
  <si>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</si>
  <si>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</si>
  <si>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</si>
  <si>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</si>
  <si>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</si>
  <si>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</si>
  <si>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</si>
  <si>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</si>
  <si>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</si>
  <si>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</si>
  <si>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</si>
  <si>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</si>
  <si>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</si>
  <si>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</si>
  <si>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</si>
  <si>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</si>
  <si>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</si>
  <si>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</si>
  <si>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</si>
  <si>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</si>
  <si>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</si>
  <si>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</si>
  <si>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</si>
  <si>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</si>
  <si>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</si>
  <si>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</si>
  <si>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</si>
  <si>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</si>
  <si>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</si>
  <si>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</si>
  <si>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</si>
  <si>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</si>
  <si>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</si>
  <si>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</si>
  <si>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</si>
  <si>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</si>
  <si>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</si>
  <si>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</si>
  <si>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</si>
  <si>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</si>
  <si>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</si>
  <si>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</si>
  <si>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</si>
  <si>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</si>
  <si>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</si>
  <si>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</si>
  <si>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</si>
  <si>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</si>
  <si>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</si>
  <si>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</si>
  <si>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</si>
  <si>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</si>
  <si>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</si>
  <si>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</si>
  <si>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</si>
  <si>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</si>
  <si>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</si>
  <si>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</si>
  <si>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</si>
  <si>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</si>
  <si>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</si>
  <si>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</si>
  <si>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</si>
  <si>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</si>
  <si>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</si>
  <si>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</si>
  <si>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</si>
  <si>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</si>
  <si>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</si>
  <si>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</si>
  <si>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</si>
  <si>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</si>
  <si>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</si>
  <si>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</si>
  <si>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</si>
  <si>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</si>
  <si>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</si>
  <si>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</si>
  <si>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</si>
  <si>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</si>
  <si>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</si>
  <si>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</si>
  <si>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</si>
  <si>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</si>
  <si>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</si>
  <si>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</si>
  <si>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</si>
  <si>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</si>
  <si>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</si>
  <si>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</si>
  <si>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</si>
  <si>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</si>
  <si>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</si>
  <si>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</si>
  <si>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</si>
  <si>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</si>
  <si>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</si>
  <si>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</si>
  <si>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</si>
  <si>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</si>
  <si>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</si>
  <si>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</si>
  <si>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</si>
  <si>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</si>
  <si>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</si>
  <si>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</si>
  <si>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</si>
  <si>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</si>
  <si>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</si>
  <si>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</si>
  <si>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</si>
  <si>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</si>
  <si>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</si>
  <si>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</si>
  <si>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</si>
  <si>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</si>
  <si>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</si>
  <si>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</si>
  <si>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</si>
  <si>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</si>
  <si>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</si>
  <si>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</si>
  <si>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</si>
  <si>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</si>
  <si>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</si>
  <si>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</si>
  <si>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</si>
  <si>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</si>
  <si>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</si>
  <si>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</si>
  <si>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</si>
  <si>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</si>
  <si>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</si>
  <si>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</si>
  <si>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</si>
  <si>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</si>
  <si>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</si>
  <si>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</si>
  <si>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</si>
  <si>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</si>
  <si>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</si>
  <si>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</si>
  <si>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</si>
  <si>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</si>
  <si>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</si>
  <si>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</si>
  <si>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</si>
  <si>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</si>
  <si>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</si>
  <si>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</si>
  <si>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</si>
  <si>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</si>
  <si>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</si>
  <si>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</si>
  <si>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</si>
  <si>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</si>
  <si>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</si>
  <si>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</si>
  <si>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</si>
  <si>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</si>
  <si>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</si>
  <si>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</si>
  <si>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</si>
  <si>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</si>
  <si>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</si>
  <si>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</si>
  <si>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</si>
  <si>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</si>
  <si>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</si>
  <si>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</si>
  <si>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</si>
  <si>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</si>
  <si>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</si>
  <si>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</si>
  <si>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</si>
  <si>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</si>
  <si>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</si>
  <si>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</si>
  <si>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</si>
  <si>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</si>
  <si>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</si>
  <si>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</si>
  <si>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</si>
  <si>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</si>
  <si>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</si>
  <si>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</si>
  <si>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</si>
  <si>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</si>
  <si>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</si>
  <si>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</si>
  <si>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</si>
  <si>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</si>
  <si>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</si>
  <si>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</si>
  <si>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</si>
  <si>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</si>
  <si>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</si>
  <si>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</si>
  <si>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</si>
  <si>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</si>
  <si>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</si>
  <si>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</si>
  <si>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</si>
  <si>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</si>
  <si>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</si>
  <si>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</si>
  <si>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</si>
  <si>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</si>
  <si>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</si>
  <si>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</si>
  <si>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</si>
  <si>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</si>
  <si>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</si>
  <si>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</si>
  <si>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</si>
  <si>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</si>
  <si>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</si>
  <si>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</si>
  <si>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</si>
  <si>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</si>
  <si>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</si>
  <si>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</si>
  <si>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</si>
  <si>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</si>
  <si>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</si>
  <si>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</si>
  <si>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</si>
  <si>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</si>
  <si>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</si>
  <si>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</si>
  <si>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</si>
  <si>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</si>
  <si>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</si>
  <si>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</si>
  <si>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</si>
  <si>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</si>
  <si>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</si>
  <si>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</si>
  <si>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</si>
  <si>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</si>
  <si>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</si>
  <si>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</si>
  <si>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</si>
  <si>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</si>
  <si>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</si>
  <si>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</si>
  <si>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</si>
  <si>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</si>
  <si>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</si>
  <si>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</si>
  <si>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</si>
  <si>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</si>
  <si>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</si>
  <si>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</si>
  <si>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</si>
  <si>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</si>
  <si>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</si>
  <si>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</si>
  <si>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</si>
  <si>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</si>
  <si>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</si>
  <si>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</si>
  <si>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</si>
  <si>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</si>
  <si>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</si>
  <si>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</si>
  <si>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</si>
  <si>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</si>
  <si>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</si>
  <si>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</si>
  <si>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</si>
  <si>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</si>
  <si>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</si>
  <si>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</si>
  <si>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</si>
  <si>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</si>
  <si>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</si>
  <si>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</si>
  <si>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</si>
  <si>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</si>
  <si>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</si>
  <si>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</si>
  <si>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</si>
  <si>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</si>
  <si>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</si>
  <si>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</si>
  <si>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</si>
  <si>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</si>
  <si>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</si>
  <si>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</si>
  <si>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</si>
  <si>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</si>
  <si>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</si>
  <si>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</si>
  <si>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</si>
  <si>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</si>
  <si>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</si>
  <si>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</si>
  <si>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</si>
  <si>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</si>
  <si>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</si>
  <si>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</si>
  <si>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</si>
  <si>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</si>
  <si>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</si>
  <si>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</si>
  <si>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</si>
  <si>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</si>
  <si>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</si>
  <si>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</si>
  <si>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</si>
  <si>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</si>
  <si>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</si>
  <si>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</si>
  <si>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</si>
  <si>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</si>
  <si>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</si>
  <si>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</si>
  <si>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</si>
  <si>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</si>
  <si>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</si>
  <si>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</si>
  <si>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</si>
  <si>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</si>
  <si>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</si>
  <si>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</si>
  <si>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</si>
  <si>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</si>
  <si>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</si>
  <si>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</si>
  <si>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</si>
  <si>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</si>
  <si>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</si>
  <si>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</si>
  <si>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</si>
  <si>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</si>
  <si>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</si>
  <si>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</si>
  <si>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</si>
  <si>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</si>
  <si>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</si>
  <si>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</si>
  <si>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</si>
  <si>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</si>
  <si>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</si>
  <si>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</si>
  <si>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</si>
  <si>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</si>
  <si>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</si>
  <si>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</si>
  <si>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</si>
  <si>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</si>
  <si>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</si>
  <si>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</si>
  <si>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</si>
  <si>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</si>
  <si>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</si>
  <si>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</si>
  <si>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</si>
  <si>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</si>
  <si>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</si>
  <si>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</si>
  <si>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</si>
  <si>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</si>
  <si>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</si>
  <si>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</si>
  <si>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</si>
  <si>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</si>
  <si>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</si>
  <si>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</si>
  <si>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</si>
  <si>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</si>
  <si>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</si>
  <si>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</si>
  <si>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</si>
  <si>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</si>
  <si>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</si>
  <si>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</si>
  <si>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</si>
  <si>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</si>
  <si>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</si>
  <si>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</si>
  <si>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</si>
  <si>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</si>
  <si>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</si>
  <si>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</si>
  <si>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</si>
  <si>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</si>
  <si>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</si>
  <si>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</si>
  <si>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</si>
  <si>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</si>
  <si>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</si>
  <si>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</si>
  <si>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</si>
  <si>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</si>
  <si>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</si>
  <si>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</si>
  <si>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</si>
  <si>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</si>
  <si>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</si>
  <si>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</si>
  <si>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</si>
  <si>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</si>
  <si>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</si>
  <si>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</si>
  <si>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</si>
  <si>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</si>
  <si>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</si>
  <si>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</si>
  <si>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</si>
  <si>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</si>
  <si>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</si>
  <si>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</si>
  <si>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</si>
  <si>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</si>
  <si>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</si>
  <si>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</si>
  <si>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</si>
  <si>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</si>
  <si>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</si>
  <si>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</si>
  <si>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</si>
  <si>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</si>
  <si>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</si>
  <si>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</si>
  <si>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</si>
  <si>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</si>
  <si>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</si>
  <si>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</si>
  <si>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</si>
  <si>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</si>
  <si>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</si>
  <si>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</si>
  <si>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</si>
  <si>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</si>
  <si>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</si>
  <si>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</si>
  <si>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</si>
  <si>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</si>
  <si>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</si>
  <si>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</si>
  <si>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</si>
  <si>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</si>
  <si>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</si>
  <si>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</si>
  <si>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</si>
  <si>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</si>
  <si>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</si>
  <si>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</si>
  <si>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</si>
  <si>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</si>
  <si>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</si>
  <si>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</si>
  <si>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</si>
  <si>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</si>
  <si>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</si>
  <si>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</si>
  <si>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</si>
  <si>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</si>
  <si>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</si>
  <si>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</si>
  <si>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</si>
  <si>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</si>
  <si>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</si>
  <si>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</si>
  <si>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</si>
  <si>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</si>
  <si>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</si>
  <si>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</si>
  <si>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</si>
  <si>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</si>
  <si>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</si>
  <si>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</si>
  <si>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</si>
  <si>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</si>
  <si>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</si>
  <si>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</si>
  <si>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</si>
  <si>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</si>
  <si>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</si>
  <si>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</si>
  <si>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</si>
  <si>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</si>
  <si>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</si>
  <si>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</si>
  <si>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</si>
  <si>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</si>
  <si>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</si>
  <si>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</si>
  <si>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</si>
  <si>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</si>
  <si>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</si>
  <si>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</si>
  <si>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</si>
  <si>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</si>
  <si>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</si>
  <si>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</si>
  <si>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</si>
  <si>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</si>
  <si>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</si>
  <si>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</si>
  <si>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</si>
  <si>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</si>
  <si>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</si>
  <si>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</si>
  <si>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</si>
  <si>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</si>
  <si>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</si>
  <si>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</si>
  <si>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</si>
  <si>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</si>
  <si>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</si>
  <si>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</si>
  <si>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</si>
  <si>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</si>
  <si>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</si>
  <si>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</si>
  <si>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</si>
  <si>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</si>
  <si>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</si>
  <si>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</si>
  <si>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</si>
  <si>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</si>
  <si>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</si>
  <si>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</si>
  <si>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</si>
  <si>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</si>
  <si>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</si>
  <si>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</si>
  <si>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</si>
  <si>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</si>
  <si>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</si>
  <si>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</si>
  <si>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</si>
  <si>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</si>
  <si>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</si>
  <si>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</si>
  <si>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</si>
  <si>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</si>
  <si>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</si>
  <si>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</si>
  <si>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</si>
  <si>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</si>
  <si>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</si>
  <si>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</si>
  <si>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</si>
  <si>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</si>
  <si>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</si>
  <si>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</si>
  <si>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</si>
  <si>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</si>
  <si>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</si>
  <si>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</si>
  <si>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</si>
  <si>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</si>
  <si>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</si>
  <si>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</si>
  <si>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</si>
  <si>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</si>
  <si>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</si>
  <si>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</si>
  <si>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</si>
  <si>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</si>
  <si>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</si>
  <si>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</si>
  <si>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</si>
  <si>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</si>
  <si>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</si>
  <si>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</si>
  <si>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</si>
  <si>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</si>
  <si>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</si>
  <si>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</si>
  <si>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</si>
  <si>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</si>
  <si>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</si>
  <si>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</si>
  <si>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</si>
  <si>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</si>
  <si>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</si>
  <si>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</si>
  <si>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</si>
  <si>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</si>
  <si>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</si>
  <si>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</si>
  <si>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</si>
  <si>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</si>
  <si>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</si>
  <si>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</si>
  <si>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</si>
  <si>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</si>
  <si>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</si>
  <si>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</si>
  <si>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</si>
  <si>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</si>
  <si>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</si>
  <si>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</si>
  <si>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</si>
  <si>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</si>
  <si>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</si>
  <si>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</si>
  <si>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</si>
  <si>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</si>
  <si>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</si>
  <si>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</si>
  <si>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</si>
  <si>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</si>
  <si>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</si>
  <si>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</si>
  <si>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</si>
  <si>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</si>
  <si>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</si>
  <si>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</si>
  <si>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</si>
  <si>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</si>
  <si>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</si>
  <si>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</si>
  <si>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</si>
  <si>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</si>
  <si>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</si>
  <si>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</si>
  <si>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</si>
  <si>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</si>
  <si>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</si>
  <si>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</si>
  <si>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</si>
  <si>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</si>
  <si>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</si>
  <si>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</si>
  <si>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</si>
  <si>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</si>
  <si>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</si>
  <si>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</si>
  <si>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</si>
  <si>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</si>
  <si>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</si>
  <si>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</si>
  <si>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</si>
  <si>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</si>
  <si>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</si>
  <si>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</si>
  <si>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</si>
  <si>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</si>
  <si>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</si>
  <si>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</si>
  <si>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</si>
  <si>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</si>
  <si>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</si>
  <si>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</si>
  <si>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</si>
  <si>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</si>
  <si>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</si>
  <si>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</si>
  <si>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</si>
  <si>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</si>
  <si>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</si>
  <si>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</si>
  <si>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</si>
  <si>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</si>
  <si>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</si>
  <si>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</si>
  <si>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</si>
  <si>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</si>
  <si>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</si>
  <si>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</si>
  <si>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</si>
  <si>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</si>
  <si>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</si>
  <si>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</si>
  <si>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</si>
  <si>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</si>
  <si>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</si>
  <si>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</si>
  <si>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</si>
  <si>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</si>
  <si>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</si>
  <si>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</si>
  <si>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</si>
  <si>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</si>
  <si>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</si>
  <si>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</si>
  <si>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</si>
  <si>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</si>
  <si>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</si>
  <si>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</si>
  <si>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</si>
  <si>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</si>
  <si>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</si>
  <si>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</si>
  <si>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</si>
  <si>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</si>
  <si>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</si>
  <si>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</si>
  <si>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</si>
  <si>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</si>
  <si>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</si>
  <si>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</si>
  <si>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</si>
  <si>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</si>
  <si>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</si>
  <si>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</si>
  <si>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</si>
  <si>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</si>
  <si>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</si>
  <si>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</si>
  <si>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</si>
  <si>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</si>
  <si>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</si>
  <si>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</si>
  <si>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</si>
  <si>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</si>
  <si>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</si>
  <si>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</si>
  <si>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</si>
  <si>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</si>
  <si>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</si>
  <si>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</si>
  <si>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</si>
  <si>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</si>
  <si>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</si>
  <si>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</si>
  <si>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</si>
  <si>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</si>
  <si>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</si>
  <si>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</si>
  <si>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</si>
  <si>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</si>
  <si>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</si>
  <si>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</si>
  <si>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</si>
  <si>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</si>
  <si>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</si>
  <si>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</si>
  <si>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</si>
  <si>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</si>
  <si>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</si>
  <si>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</si>
  <si>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</si>
  <si>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</si>
  <si>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</si>
  <si>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</si>
  <si>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</si>
  <si>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</si>
  <si>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</si>
  <si>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</si>
  <si>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</si>
  <si>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</si>
  <si>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</si>
  <si>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</si>
  <si>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</si>
  <si>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</si>
  <si>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</si>
  <si>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</si>
  <si>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</si>
  <si>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</si>
  <si>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</si>
  <si>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</si>
  <si>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</si>
  <si>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</si>
  <si>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</si>
  <si>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</si>
  <si>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</si>
  <si>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</si>
  <si>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</si>
  <si>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</si>
  <si>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</si>
  <si>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</si>
  <si>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</si>
  <si>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</si>
  <si>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</si>
  <si>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</si>
  <si>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</si>
  <si>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</si>
  <si>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</si>
  <si>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</si>
  <si>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</si>
  <si>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</si>
  <si>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</si>
  <si>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</si>
  <si>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</si>
  <si>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</si>
  <si>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</si>
  <si>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</si>
  <si>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</si>
  <si>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</si>
  <si>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</si>
  <si>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</si>
  <si>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</si>
  <si>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</si>
  <si>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</si>
  <si>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</si>
  <si>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</si>
  <si>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</si>
  <si>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</si>
  <si>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</si>
  <si>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</si>
  <si>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</si>
  <si>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</si>
  <si>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</si>
  <si>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</si>
  <si>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</si>
  <si>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</si>
  <si>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</si>
  <si>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</si>
  <si>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</si>
  <si>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</si>
  <si>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</si>
  <si>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</si>
  <si>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</si>
  <si>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</si>
  <si>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</si>
  <si>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</si>
  <si>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</si>
  <si>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</si>
  <si>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</si>
  <si>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</si>
  <si>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</si>
  <si>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</si>
  <si>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</si>
  <si>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</si>
  <si>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</si>
  <si>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</si>
  <si>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</si>
  <si>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</si>
  <si>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</si>
  <si>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</si>
  <si>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</si>
  <si>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</si>
  <si>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</si>
  <si>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</si>
  <si>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</si>
  <si>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</si>
  <si>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</si>
  <si>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</si>
  <si>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</si>
  <si>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</si>
  <si>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</si>
  <si>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</si>
  <si>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</si>
  <si>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</si>
  <si>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</si>
  <si>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</si>
  <si>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</si>
  <si>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</si>
  <si>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</si>
  <si>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</si>
  <si>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</si>
  <si>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</si>
  <si>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</si>
  <si>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</si>
  <si>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</si>
  <si>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</si>
  <si>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</si>
  <si>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</si>
  <si>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</si>
  <si>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</si>
  <si>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</si>
  <si>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</si>
  <si>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</si>
  <si>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</si>
  <si>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</si>
  <si>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</si>
  <si>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</si>
  <si>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</si>
  <si>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</si>
  <si>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</si>
  <si>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</si>
  <si>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</si>
  <si>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</si>
  <si>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</si>
  <si>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</si>
  <si>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</si>
  <si>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</si>
  <si>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</si>
  <si>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</si>
  <si>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</si>
  <si>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</si>
  <si>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</si>
  <si>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</si>
  <si>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</si>
  <si>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</si>
  <si>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</si>
  <si>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</si>
  <si>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</si>
  <si>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</si>
  <si>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</si>
  <si>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</si>
  <si>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</si>
  <si>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</si>
  <si>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</si>
  <si>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</si>
  <si>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</si>
  <si>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</si>
  <si>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</si>
  <si>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</si>
  <si>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</si>
  <si>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</si>
  <si>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</si>
  <si>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</si>
  <si>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</si>
  <si>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</si>
  <si>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</si>
  <si>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</si>
  <si>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</si>
  <si>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</si>
  <si>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</si>
  <si>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</si>
  <si>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</si>
  <si>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</si>
  <si>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</si>
  <si>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</si>
  <si>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</si>
  <si>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</si>
  <si>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</si>
  <si>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</si>
  <si>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</si>
  <si>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</si>
  <si>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</si>
  <si>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</si>
  <si>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</si>
  <si>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</si>
  <si>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</si>
  <si>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</si>
  <si>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</si>
  <si>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</si>
  <si>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</si>
  <si>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</si>
  <si>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</si>
  <si>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</si>
  <si>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</si>
  <si>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</si>
  <si>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</si>
  <si>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</si>
  <si>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</si>
  <si>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</si>
  <si>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</si>
  <si>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</si>
  <si>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</si>
  <si>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</si>
  <si>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</si>
  <si>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</si>
  <si>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</si>
  <si>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</si>
  <si>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</si>
  <si>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</si>
  <si>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</si>
  <si>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</si>
  <si>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</si>
  <si>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</si>
  <si>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</si>
  <si>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</si>
  <si>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</si>
  <si>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</si>
  <si>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</si>
  <si>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</si>
  <si>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</si>
  <si>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</si>
  <si>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</si>
  <si>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</si>
  <si>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</si>
  <si>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</si>
  <si>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</si>
  <si>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</si>
  <si>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</si>
  <si>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</si>
  <si>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</si>
  <si>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</si>
  <si>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</si>
  <si>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</si>
  <si>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</si>
  <si>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</si>
  <si>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</si>
  <si>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</si>
  <si>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</si>
  <si>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</si>
  <si>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</si>
  <si>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</si>
  <si>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</si>
  <si>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</si>
  <si>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</si>
  <si>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</si>
  <si>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</si>
  <si>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</si>
  <si>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</si>
  <si>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</si>
  <si>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</si>
  <si>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</si>
  <si>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</si>
  <si>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</si>
  <si>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</si>
  <si>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</si>
  <si>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</si>
  <si>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</si>
  <si>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</si>
  <si>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</si>
  <si>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</si>
  <si>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</si>
  <si>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</si>
  <si>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</si>
  <si>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</si>
  <si>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</si>
  <si>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</si>
  <si>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</si>
  <si>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</si>
  <si>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</si>
  <si>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</si>
  <si>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</si>
  <si>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</si>
  <si>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</si>
  <si>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</si>
  <si>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</si>
  <si>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</si>
  <si>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</si>
  <si>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</si>
  <si>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</si>
  <si>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</si>
  <si>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</si>
  <si>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</si>
  <si>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</si>
  <si>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</si>
  <si>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</si>
  <si>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</si>
  <si>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</si>
  <si>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</si>
  <si>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</si>
  <si>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</si>
  <si>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</si>
  <si>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</si>
  <si>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</si>
  <si>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</si>
  <si>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</si>
  <si>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</si>
  <si>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</si>
  <si>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</si>
  <si>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</si>
  <si>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</si>
  <si>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</si>
  <si>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</si>
  <si>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</si>
  <si>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</si>
  <si>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</si>
  <si>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</si>
  <si>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</si>
  <si>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</si>
  <si>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</si>
  <si>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</si>
  <si>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</si>
  <si>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</si>
  <si>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</si>
  <si>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</si>
  <si>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</si>
  <si>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</si>
  <si>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</si>
  <si>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</si>
  <si>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</si>
  <si>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</si>
  <si>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</si>
  <si>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</si>
  <si>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</si>
  <si>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</si>
  <si>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</si>
  <si>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</si>
  <si>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</si>
  <si>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</si>
  <si>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</si>
  <si>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</si>
  <si>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</si>
  <si>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</si>
  <si>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</si>
  <si>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</si>
  <si>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</si>
  <si>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</si>
  <si>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</si>
  <si>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</si>
  <si>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</si>
  <si>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</si>
  <si>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</si>
  <si>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</si>
  <si>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</si>
  <si>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</si>
  <si>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</si>
  <si>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</si>
  <si>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</si>
  <si>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</si>
  <si>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</si>
  <si>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</si>
  <si>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</si>
  <si>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</si>
  <si>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</si>
  <si>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</si>
  <si>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</si>
  <si>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</si>
  <si>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</si>
  <si>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</si>
  <si>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</si>
  <si>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</si>
  <si>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</si>
  <si>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</si>
  <si>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</si>
  <si>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</si>
  <si>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</si>
  <si>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</si>
  <si>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</si>
  <si>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</si>
  <si>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</si>
  <si>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</si>
  <si>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</si>
  <si>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</si>
  <si>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</si>
  <si>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</si>
  <si>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</si>
  <si>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</si>
  <si>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</si>
  <si>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</si>
  <si>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</si>
  <si>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</si>
  <si>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</si>
  <si>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</si>
  <si>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</si>
  <si>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</si>
  <si>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</si>
  <si>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</si>
  <si>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</si>
  <si>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</si>
  <si>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</si>
  <si>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</si>
  <si>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</si>
  <si>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</si>
  <si>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</si>
  <si>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</si>
  <si>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</si>
  <si>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</si>
  <si>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</si>
  <si>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</si>
  <si>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</si>
  <si>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</si>
  <si>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</si>
  <si>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</si>
  <si>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</si>
  <si>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</si>
  <si>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</si>
  <si>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</si>
  <si>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</si>
  <si>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</si>
  <si>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</si>
  <si>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</si>
  <si>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</si>
  <si>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</si>
  <si>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</si>
  <si>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</si>
  <si>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</si>
  <si>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</si>
  <si>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</si>
  <si>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</si>
  <si>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</si>
  <si>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</si>
  <si>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</si>
  <si>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</si>
  <si>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</si>
  <si>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</si>
  <si>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</si>
  <si>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</si>
  <si>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</si>
  <si>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</si>
  <si>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</si>
  <si>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</si>
  <si>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</si>
  <si>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</si>
  <si>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</si>
  <si>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</si>
  <si>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</si>
  <si>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</si>
  <si>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</si>
  <si>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</si>
  <si>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</si>
  <si>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</si>
  <si>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</si>
  <si>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</si>
  <si>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</si>
  <si>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</si>
  <si>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</si>
  <si>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</si>
  <si>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</si>
  <si>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</si>
  <si>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</si>
  <si>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</si>
  <si>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</si>
  <si>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</si>
  <si>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</si>
  <si>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</si>
  <si>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</si>
  <si>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</si>
  <si>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</si>
  <si>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</si>
  <si>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</si>
  <si>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</si>
  <si>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</si>
  <si>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</si>
  <si>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</si>
  <si>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</si>
  <si>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</si>
  <si>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</si>
  <si>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</si>
  <si>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</si>
  <si>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</si>
  <si>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</si>
  <si>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</si>
  <si>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</si>
  <si>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</si>
  <si>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</si>
  <si>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</si>
  <si>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</si>
  <si>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</si>
  <si>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</si>
  <si>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</si>
  <si>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</si>
  <si>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</si>
  <si>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</si>
  <si>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</si>
  <si>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</si>
  <si>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</si>
  <si>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</si>
  <si>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</si>
  <si>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</si>
  <si>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</si>
  <si>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</si>
  <si>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</si>
  <si>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</si>
  <si>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</si>
  <si>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</si>
  <si>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</si>
  <si>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</si>
  <si>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</si>
  <si>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</si>
  <si>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</si>
  <si>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</si>
  <si>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</si>
  <si>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</si>
  <si>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</si>
  <si>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</si>
  <si>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</si>
  <si>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</si>
  <si>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</si>
  <si>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</si>
  <si>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</si>
  <si>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</si>
  <si>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</si>
  <si>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</si>
  <si>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</si>
  <si>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</si>
  <si>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</si>
  <si>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</si>
  <si>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</si>
  <si>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</si>
  <si>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</si>
  <si>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</si>
  <si>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</si>
  <si>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</si>
  <si>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</si>
  <si>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</si>
  <si>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</si>
  <si>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</si>
  <si>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</si>
  <si>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</si>
  <si>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</si>
  <si>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</si>
  <si>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</si>
  <si>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</si>
  <si>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</si>
  <si>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</si>
  <si>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</si>
  <si>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</si>
  <si>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</si>
  <si>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</si>
  <si>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</si>
  <si>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</si>
  <si>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</si>
  <si>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</si>
  <si>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</si>
  <si>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</si>
  <si>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</si>
  <si>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</si>
  <si>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</si>
  <si>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</si>
  <si>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</si>
  <si>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</si>
  <si>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</si>
  <si>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</si>
  <si>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</si>
  <si>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</si>
  <si>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</si>
  <si>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</si>
  <si>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</si>
  <si>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</si>
  <si>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</si>
  <si>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</si>
  <si>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</si>
  <si>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</si>
  <si>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</si>
  <si>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</si>
  <si>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</si>
  <si>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</si>
  <si>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</si>
  <si>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</si>
  <si>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</si>
  <si>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</si>
  <si>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</si>
  <si>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</si>
  <si>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</si>
  <si>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</si>
  <si>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</si>
  <si>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</si>
  <si>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</si>
  <si>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</si>
  <si>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</si>
  <si>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</si>
  <si>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</si>
  <si>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</si>
  <si>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</si>
  <si>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</si>
  <si>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</si>
  <si>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</si>
  <si>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</si>
  <si>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</si>
  <si>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</si>
  <si>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</si>
  <si>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</si>
  <si>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</si>
  <si>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</si>
  <si>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</si>
  <si>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</si>
  <si>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</si>
  <si>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</si>
  <si>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</si>
  <si>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</si>
  <si>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</si>
  <si>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</si>
  <si>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</si>
  <si>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</si>
  <si>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</si>
  <si>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</si>
  <si>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</si>
  <si>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</si>
  <si>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</si>
  <si>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</si>
  <si>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</si>
  <si>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</si>
  <si>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</si>
  <si>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</si>
  <si>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</si>
  <si>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</si>
  <si>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</si>
  <si>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</si>
  <si>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</si>
  <si>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</si>
  <si>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</si>
  <si>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</si>
  <si>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</si>
  <si>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</si>
  <si>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</si>
  <si>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</si>
  <si>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</si>
  <si>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</si>
  <si>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</si>
  <si>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</si>
  <si>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</si>
  <si>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</si>
  <si>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</si>
  <si>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</si>
  <si>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</si>
  <si>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</si>
  <si>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</si>
  <si>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</si>
  <si>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</si>
  <si>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</si>
  <si>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</si>
  <si>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</si>
  <si>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</si>
  <si>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</si>
  <si>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</si>
  <si>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</si>
  <si>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</si>
  <si>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</si>
  <si>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</si>
  <si>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</si>
  <si>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</si>
  <si>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</si>
  <si>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</si>
  <si>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</si>
  <si>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</si>
  <si>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</si>
  <si>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</si>
  <si>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</si>
  <si>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</si>
  <si>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</si>
  <si>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</si>
  <si>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</si>
  <si>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</si>
  <si>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</si>
  <si>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</si>
  <si>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</si>
  <si>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</si>
  <si>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</si>
  <si>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</si>
  <si>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</si>
  <si>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</si>
  <si>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</si>
  <si>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</si>
  <si>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</si>
  <si>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</si>
  <si>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</si>
  <si>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</si>
  <si>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</si>
  <si>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</si>
  <si>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</si>
  <si>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</si>
  <si>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</si>
  <si>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</si>
  <si>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</si>
  <si>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</si>
  <si>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</si>
  <si>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</si>
  <si>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</si>
  <si>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</si>
  <si>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</si>
  <si>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</si>
  <si>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</si>
  <si>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</si>
  <si>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</si>
  <si>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</si>
  <si>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</si>
  <si>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</si>
  <si>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</si>
  <si>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</si>
  <si>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</si>
  <si>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</si>
  <si>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</si>
  <si>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</si>
  <si>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</si>
  <si>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</si>
  <si>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</si>
  <si>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</si>
  <si>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</si>
  <si>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</si>
  <si>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</si>
  <si>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</si>
  <si>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</si>
  <si>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</si>
  <si>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</si>
  <si>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</si>
  <si>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</si>
  <si>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</si>
  <si>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</si>
  <si>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</si>
  <si>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</si>
  <si>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</si>
  <si>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</si>
  <si>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</si>
  <si>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</si>
  <si>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</si>
  <si>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</si>
  <si>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</si>
  <si>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</si>
  <si>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</si>
  <si>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</si>
  <si>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</si>
  <si>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</si>
  <si>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</si>
  <si>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</si>
  <si>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</si>
  <si>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</si>
  <si>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</si>
  <si>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</si>
  <si>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</si>
  <si>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</si>
  <si>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</si>
  <si>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</si>
  <si>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</si>
  <si>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</si>
  <si>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</si>
  <si>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</si>
  <si>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</si>
  <si>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</si>
  <si>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</si>
  <si>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</si>
  <si>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</si>
  <si>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</si>
  <si>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</si>
  <si>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</si>
  <si>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</si>
  <si>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</si>
  <si>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</si>
  <si>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</si>
  <si>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</si>
  <si>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</si>
  <si>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</si>
  <si>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</si>
  <si>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</si>
  <si>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</si>
  <si>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</si>
  <si>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</si>
  <si>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</si>
  <si>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</si>
  <si>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</si>
  <si>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</si>
  <si>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</si>
  <si>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</si>
  <si>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</si>
  <si>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</si>
  <si>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</si>
  <si>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</si>
  <si>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</si>
  <si>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</si>
  <si>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</si>
  <si>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</si>
  <si>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</si>
  <si>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</si>
  <si>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</si>
  <si>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</si>
  <si>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</si>
  <si>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</si>
  <si>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</si>
  <si>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</si>
  <si>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</si>
  <si>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</si>
  <si>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</si>
  <si>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</si>
  <si>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</si>
  <si>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</si>
  <si>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</si>
  <si>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</si>
  <si>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</si>
  <si>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</si>
  <si>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</si>
  <si>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</si>
  <si>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</si>
  <si>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</si>
  <si>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</si>
  <si>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</si>
  <si>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</si>
  <si>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</si>
  <si>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</si>
  <si>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</si>
  <si>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</si>
  <si>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</si>
  <si>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</si>
  <si>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</si>
  <si>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</si>
  <si>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</si>
  <si>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</si>
  <si>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</si>
  <si>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</si>
  <si>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</si>
  <si>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</si>
  <si>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</si>
  <si>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</si>
  <si>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</si>
  <si>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</si>
  <si>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</si>
  <si>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</si>
  <si>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</si>
  <si>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</si>
  <si>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</si>
  <si>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</si>
  <si>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</si>
  <si>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</si>
  <si>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</si>
  <si>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</si>
  <si>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</si>
  <si>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</si>
  <si>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</si>
  <si>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</si>
  <si>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</si>
  <si>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</si>
  <si>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</si>
  <si>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</si>
  <si>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</si>
  <si>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</si>
  <si>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</si>
  <si>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</si>
  <si>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</si>
  <si>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</si>
  <si>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</si>
  <si>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</si>
  <si>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</si>
  <si>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</si>
  <si>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</si>
  <si>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</si>
  <si>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</si>
  <si>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</si>
  <si>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</si>
  <si>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</si>
  <si>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</si>
  <si>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</si>
  <si>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</si>
  <si>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</si>
  <si>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</si>
  <si>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</si>
  <si>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</si>
  <si>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</si>
  <si>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</si>
  <si>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</si>
  <si>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</si>
  <si>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</si>
  <si>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</si>
  <si>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</si>
  <si>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</si>
  <si>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</si>
  <si>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</si>
  <si>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</si>
  <si>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</si>
  <si>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VAR</t>
  </si>
  <si>
    <t xml:space="preserve">Touet sur Var</t>
  </si>
  <si>
    <t xml:space="preserve">06710020</t>
  </si>
  <si>
    <t xml:space="preserve">7178b - IBMR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</si>
  <si>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</si>
  <si>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</si>
  <si>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</si>
  <si>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</si>
  <si>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</si>
  <si>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</si>
  <si>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</si>
  <si>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ch. lotique</t>
  </si>
  <si>
    <t xml:space="preserve">niv. trophique:</t>
  </si>
  <si>
    <t xml:space="preserve">très élevé</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</si>
  <si>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</si>
  <si>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</si>
  <si>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</si>
  <si>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</si>
  <si>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</si>
  <si>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</si>
  <si>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</si>
  <si>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</si>
  <si>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</si>
  <si>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</si>
  <si>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</si>
  <si>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</si>
  <si>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</si>
  <si>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</si>
  <si>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</si>
  <si>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</si>
  <si>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</si>
  <si>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</si>
  <si>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</si>
  <si>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</si>
  <si>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</si>
  <si>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</si>
  <si>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</si>
  <si>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</si>
  <si>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</si>
  <si>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</si>
  <si>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</si>
  <si>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</si>
  <si>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</si>
  <si>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</si>
  <si>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</si>
  <si>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</si>
  <si>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</si>
  <si>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</si>
  <si>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</si>
  <si>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</si>
  <si>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</si>
  <si>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</si>
  <si>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(1,285 %)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</si>
  <si>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</si>
  <si>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</si>
  <si>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</si>
  <si>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</si>
  <si>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</si>
  <si>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</si>
  <si>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</si>
  <si>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</si>
  <si>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</si>
  <si>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</si>
  <si>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</si>
  <si>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</si>
  <si>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</si>
  <si>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</si>
  <si>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</si>
  <si>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</si>
  <si>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</si>
  <si>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</si>
  <si>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</si>
  <si>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</si>
  <si>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</si>
  <si>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</si>
  <si>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</si>
  <si>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</si>
  <si>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</si>
  <si>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</si>
  <si>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</si>
  <si>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</si>
  <si>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</si>
  <si>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</si>
  <si>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</si>
  <si>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</si>
  <si>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</si>
  <si>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</si>
  <si>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</si>
  <si>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</si>
  <si>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</si>
  <si>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</si>
  <si>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</si>
  <si>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</si>
  <si>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</si>
  <si>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pl. courant</t>
  </si>
  <si>
    <t xml:space="preserve">radier</t>
  </si>
  <si>
    <t xml:space="preserve">rapide</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</si>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</sst>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7.66666666666667</v>
      </c>
      <c r="M5" s="323"/>
      <c r="N5" s="324" t="s">
        <v>122</v>
      </c>
      <c r="O5" s="325" t="n">
        <v>8.22222222222222</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7</v>
      </c>
      <c r="O8" s="354" t="n">
        <f aca="false">IF(ISERROR(AVERAGE(J23:J82)),"      -",AVERAGE(J23:J82))</f>
        <v>1.14285714285714</v>
      </c>
      <c r="P8" s="355"/>
      <c r="Q8" s="280"/>
      <c r="R8" s="280"/>
      <c r="S8" s="280"/>
      <c r="T8" s="280"/>
      <c r="U8" s="280"/>
      <c r="V8" s="280"/>
      <c r="W8" s="292"/>
      <c r="X8" s="293"/>
    </row>
    <row r="9" customFormat="false" ht="13.5" hidden="false" customHeight="false" outlineLevel="0" collapsed="false">
      <c r="A9" s="313" t="s">
        <v>2634</v>
      </c>
      <c r="B9" s="356" t="n">
        <v>1.3</v>
      </c>
      <c r="C9" s="357"/>
      <c r="D9" s="358"/>
      <c r="E9" s="358"/>
      <c r="F9" s="359" t="n">
        <f aca="false">($B9*$B$7+$C9*$C$7)/100</f>
        <v>1.3</v>
      </c>
      <c r="G9" s="360"/>
      <c r="H9" s="361"/>
      <c r="I9" s="362"/>
      <c r="J9" s="363"/>
      <c r="K9" s="343"/>
      <c r="L9" s="364"/>
      <c r="M9" s="353" t="s">
        <v>2635</v>
      </c>
      <c r="N9" s="354" t="n">
        <f aca="false">IF(ISERROR(STDEVP(I23:I82)),"     -",STDEVP(I23:I82))</f>
        <v>4.0355562548073</v>
      </c>
      <c r="O9" s="354" t="n">
        <f aca="false">IF(ISERROR(STDEVP(J23:J82)),"      -",STDEVP(J23:J82))</f>
        <v>0.63887656499994</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5</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7</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v>
      </c>
      <c r="L15" s="386"/>
      <c r="M15" s="407" t="s">
        <v>2653</v>
      </c>
      <c r="N15" s="408" t="n">
        <f aca="false">COUNTIF(J23:J82,"=1")</f>
        <v>4</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2</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1.285</v>
      </c>
      <c r="C20" s="436" t="n">
        <f aca="false">SUM(C23:C82)</f>
        <v>0</v>
      </c>
      <c r="D20" s="437"/>
      <c r="E20" s="438" t="s">
        <v>2659</v>
      </c>
      <c r="F20" s="439" t="n">
        <f aca="false">($B20*$B$7+$C20*$C$7)/100</f>
        <v>1.285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1.285</v>
      </c>
      <c r="C21" s="449" t="n">
        <f aca="false">C20*C7/100</f>
        <v>0</v>
      </c>
      <c r="D21" s="381" t="str">
        <f aca="false">IF(F21=0,"",IF((ABS(F21-F19))&gt;(0.2*F21),CONCATENATE(" rec. par taxa (",F21," %) supérieur à 20 % !"),""))</f>
        <v> rec. par taxa (1,285 %) supérieur à 20 % !</v>
      </c>
      <c r="E21" s="450" t="str">
        <f aca="false">IF(F21=0,"",IF((ABS(F21-F19))&gt;(0.2*F21),CONCATENATE("ATTENTION : écart entre rec. par grp (",F19," %) ","et",""),""))</f>
        <v>ATTENTION : écart entre rec. par grp (0 %) et</v>
      </c>
      <c r="F21" s="451" t="n">
        <f aca="false">B21+C21</f>
        <v>1.285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122</v>
      </c>
      <c r="B23" s="475" t="n">
        <v>1.1</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1.1</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1.1</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223</v>
      </c>
      <c r="B24" s="494" t="n">
        <v>0.15</v>
      </c>
      <c r="C24" s="495"/>
      <c r="D24" s="477" t="str">
        <f aca="false">IF(ISERROR(VLOOKUP($A24,'liste reference'!$A$7:$D$904,2,0)),IF(ISERROR(VLOOKUP($A24,'liste reference'!$B$7:$D$904,1,0)),"",VLOOKUP($A24,'liste reference'!$B$7:$D$904,1,0)),VLOOKUP($A24,'liste reference'!$A$7:$D$904,2,0))</f>
        <v>Oedogonium sp.</v>
      </c>
      <c r="E24" s="496" t="e">
        <f aca="false">IF(D24="",0,VLOOKUP(D24,D$22:D23,1,0))</f>
        <v>#N/A</v>
      </c>
      <c r="F24" s="497" t="n">
        <f aca="false">($B24*$B$7+$C24*$C$7)/100</f>
        <v>0.15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Oedogonium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1134</v>
      </c>
      <c r="Q24" s="486" t="n">
        <f aca="false">IF(ISTEXT(H24),"",(B24*$B$7/100)+(C24*$C$7/100))</f>
        <v>0.15</v>
      </c>
      <c r="R24" s="487" t="n">
        <f aca="false">IF(OR(ISTEXT(H24),Q24=0),"",IF(Q24&lt;0.1,1,IF(Q24&lt;1,2,IF(Q24&lt;10,3,IF(Q24&lt;50,4,IF(Q24&gt;=50,5,""))))))</f>
        <v>2</v>
      </c>
      <c r="S24" s="487" t="n">
        <f aca="false">IF(ISERROR(R24*I24),0,R24*I24)</f>
        <v>12</v>
      </c>
      <c r="T24" s="487" t="n">
        <f aca="false">IF(ISERROR(R24*I24*J24),0,R24*I24*J24)</f>
        <v>24</v>
      </c>
      <c r="U24" s="499" t="n">
        <f aca="false">IF(ISERROR(R24*J24),0,R24*J24)</f>
        <v>4</v>
      </c>
      <c r="V24" s="488" t="str">
        <f aca="false">IF(AND(A24="",F24=0),"",IF(F24=0,"Il manque le(s) % de rec. !",""))</f>
        <v/>
      </c>
      <c r="W24" s="489"/>
      <c r="Y24" s="490" t="str">
        <f aca="false">IF(A24="new.cod","NEWCOD",IF(AND((Z24=""),ISTEXT(A24)),A24,IF(Z24="","",INDEX('liste reference'!$A$8:$A$904,Z24))))</f>
        <v>OEDSPX</v>
      </c>
      <c r="Z24" s="280" t="n">
        <f aca="false">IF(ISERROR(MATCH(A24,'liste reference'!$A$8:$A$904,0)),IF(ISERROR(MATCH(A24,'liste reference'!$B$8:$B$904,0)),"",(MATCH(A24,'liste reference'!$B$8:$B$904,0))),(MATCH(A24,'liste reference'!$A$8:$A$904,0)))</f>
        <v>55</v>
      </c>
      <c r="AA24" s="491"/>
      <c r="AB24" s="492"/>
      <c r="AC24" s="492"/>
      <c r="BB24" s="280" t="n">
        <f aca="false">IF(A24="","",1)</f>
        <v>1</v>
      </c>
    </row>
    <row r="25" customFormat="false" ht="12.75" hidden="false" customHeight="false" outlineLevel="0" collapsed="false">
      <c r="A25" s="493" t="s">
        <v>228</v>
      </c>
      <c r="B25" s="494" t="n">
        <v>0.01</v>
      </c>
      <c r="C25" s="495"/>
      <c r="D25" s="477" t="str">
        <f aca="false">IF(ISERROR(VLOOKUP($A25,'liste reference'!$A$7:$D$904,2,0)),IF(ISERROR(VLOOKUP($A25,'liste reference'!$B$7:$D$904,1,0)),"",VLOOKUP($A25,'liste reference'!$B$7:$D$904,1,0)),VLOOKUP($A25,'liste reference'!$A$7:$D$904,2,0))</f>
        <v>Phormidium sp.</v>
      </c>
      <c r="E25" s="496" t="e">
        <f aca="false">IF(D25="",0,VLOOKUP(D25,D$22:D24,1,0))</f>
        <v>#N/A</v>
      </c>
      <c r="F25" s="497" t="n">
        <f aca="false">($B25*$B$7+$C25*$C$7)/100</f>
        <v>0.01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8"/>
      <c r="M25" s="498"/>
      <c r="N25" s="498"/>
      <c r="O25" s="484" t="s">
        <v>2684</v>
      </c>
      <c r="P25" s="485" t="n">
        <f aca="false">IF($A25="NEWCOD",IF($AC25="","No",$AC25),IF(ISTEXT($E25),"DEJA SAISI !",IF($A25="","",IF(ISERROR(VLOOKUP($A25,'liste reference'!A:S,19,FALSE())),IF(ISERROR(VLOOKUP($A25,'liste reference'!B:S,19,FALSE())),"",VLOOKUP($A25,'liste reference'!B:S,19,FALSE())),VLOOKUP($A25,'liste reference'!A:S,19,FALSE())))))</f>
        <v>6414</v>
      </c>
      <c r="Q25" s="486" t="n">
        <f aca="false">IF(ISTEXT(H25),"",(B25*$B$7/100)+(C25*$C$7/100))</f>
        <v>0.01</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489"/>
      <c r="Y25" s="490" t="str">
        <f aca="false">IF(A25="new.cod","NEWCOD",IF(AND((Z25=""),ISTEXT(A25)),A25,IF(Z25="","",INDEX('liste reference'!$A$8:$A$904,Z25))))</f>
        <v>PHOSPX</v>
      </c>
      <c r="Z25" s="280" t="n">
        <f aca="false">IF(ISERROR(MATCH(A25,'liste reference'!$A$8:$A$904,0)),IF(ISERROR(MATCH(A25,'liste reference'!$B$8:$B$904,0)),"",(MATCH(A25,'liste reference'!$B$8:$B$904,0))),(MATCH(A25,'liste reference'!$A$8:$A$904,0)))</f>
        <v>57</v>
      </c>
      <c r="AA25" s="491" t="s">
        <v>2684</v>
      </c>
      <c r="AB25" s="492"/>
      <c r="AC25" s="492"/>
      <c r="BB25" s="280" t="n">
        <f aca="false">IF(A25="","",1)</f>
        <v>1</v>
      </c>
    </row>
    <row r="26" customFormat="false" ht="12.75" hidden="false" customHeight="false" outlineLevel="0" collapsed="false">
      <c r="A26" s="493" t="s">
        <v>258</v>
      </c>
      <c r="B26" s="494" t="n">
        <v>0.01</v>
      </c>
      <c r="C26" s="495"/>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0.01</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500"/>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2.75" hidden="false" customHeight="false" outlineLevel="0" collapsed="false">
      <c r="A27" s="493" t="s">
        <v>301</v>
      </c>
      <c r="B27" s="494" t="n">
        <v>0.005</v>
      </c>
      <c r="C27" s="495"/>
      <c r="D27" s="477" t="str">
        <f aca="false">IF(ISERROR(VLOOKUP($A27,'liste reference'!$A$7:$D$904,2,0)),IF(ISERROR(VLOOKUP($A27,'liste reference'!$B$7:$D$904,1,0)),"",VLOOKUP($A27,'liste reference'!$B$7:$D$904,1,0)),VLOOKUP($A27,'liste reference'!$A$7:$D$904,2,0))</f>
        <v>Vaucheria sp.</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4</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6193</v>
      </c>
      <c r="Q27" s="486" t="n">
        <f aca="false">IF(ISTEXT(H27),"",(B27*$B$7/100)+(C27*$C$7/100))</f>
        <v>0.005</v>
      </c>
      <c r="R27" s="487" t="n">
        <f aca="false">IF(OR(ISTEXT(H27),Q27=0),"",IF(Q27&lt;0.1,1,IF(Q27&lt;1,2,IF(Q27&lt;10,3,IF(Q27&lt;50,4,IF(Q27&gt;=50,5,""))))))</f>
        <v>1</v>
      </c>
      <c r="S27" s="487" t="n">
        <f aca="false">IF(ISERROR(R27*I27),0,R27*I27)</f>
        <v>4</v>
      </c>
      <c r="T27" s="487" t="n">
        <f aca="false">IF(ISERROR(R27*I27*J27),0,R27*I27*J27)</f>
        <v>4</v>
      </c>
      <c r="U27" s="499" t="n">
        <f aca="false">IF(ISERROR(R27*J27),0,R27*J27)</f>
        <v>1</v>
      </c>
      <c r="V27" s="488" t="str">
        <f aca="false">IF(AND(A27="",F27=0),"",IF(F27=0,"Il manque le(s) % de rec. !",""))</f>
        <v/>
      </c>
      <c r="W27" s="489"/>
      <c r="X27" s="489"/>
      <c r="Y27" s="490" t="str">
        <f aca="false">IF(A27="new.cod","NEWCOD",IF(AND((Z27=""),ISTEXT(A27)),A27,IF(Z27="","",INDEX('liste reference'!$A$8:$A$904,Z27))))</f>
        <v>VAUSPX</v>
      </c>
      <c r="Z27" s="280" t="n">
        <f aca="false">IF(ISERROR(MATCH(A27,'liste reference'!$A$8:$A$904,0)),IF(ISERROR(MATCH(A27,'liste reference'!$B$8:$B$904,0)),"",(MATCH(A27,'liste reference'!$B$8:$B$904,0))),(MATCH(A27,'liste reference'!$A$8:$A$904,0)))</f>
        <v>82</v>
      </c>
      <c r="AA27" s="491"/>
      <c r="AB27" s="492"/>
      <c r="AC27" s="492"/>
      <c r="BB27" s="280" t="n">
        <f aca="false">IF(A27="","",1)</f>
        <v>1</v>
      </c>
    </row>
    <row r="28" customFormat="false" ht="12.75" hidden="false" customHeight="false" outlineLevel="0" collapsed="false">
      <c r="A28" s="493" t="s">
        <v>1153</v>
      </c>
      <c r="B28" s="494" t="n">
        <v>0.005</v>
      </c>
      <c r="C28" s="495"/>
      <c r="D28" s="477" t="str">
        <f aca="false">IF(ISERROR(VLOOKUP($A28,'liste reference'!$A$7:$D$904,2,0)),IF(ISERROR(VLOOKUP($A28,'liste reference'!$B$7:$D$904,1,0)),"",VLOOKUP($A28,'liste reference'!$B$7:$D$904,1,0)),VLOOKUP($A28,'liste reference'!$A$7:$D$904,2,0))</f>
        <v>Equisetum arvense</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PTE</v>
      </c>
      <c r="H28" s="480" t="n">
        <f aca="false">IF(A28="","x",IF(ISERROR(VLOOKUP($A28,'liste reference'!$A$8:$P$904,14,0)),IF(ISERROR(VLOOKUP($A28,'liste reference'!$B$8:$P$904,13,0)),"x",VLOOKUP($A28,'liste reference'!$B$8:$P$904,13,0)),VLOOKUP($A28,'liste reference'!$A$8:$P$904,14,0)))</f>
        <v>6</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Equisetum arvense</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1384</v>
      </c>
      <c r="Q28" s="486" t="n">
        <f aca="false">IF(ISTEXT(H28),"",(B28*$B$7/100)+(C28*$C$7/100))</f>
        <v>0.005</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EQUARV</v>
      </c>
      <c r="Z28" s="280" t="n">
        <f aca="false">IF(ISERROR(MATCH(A28,'liste reference'!$A$8:$A$904,0)),IF(ISERROR(MATCH(A28,'liste reference'!$B$8:$B$904,0)),"",(MATCH(A28,'liste reference'!$B$8:$B$904,0))),(MATCH(A28,'liste reference'!$A$8:$A$904,0)))</f>
        <v>278</v>
      </c>
      <c r="AA28" s="491"/>
      <c r="AB28" s="492"/>
      <c r="AC28" s="492"/>
      <c r="BB28" s="280" t="n">
        <f aca="false">IF(A28="","",1)</f>
        <v>1</v>
      </c>
    </row>
    <row r="29" customFormat="false" ht="12.75" hidden="false" customHeight="false" outlineLevel="0" collapsed="false">
      <c r="A29" s="493" t="s">
        <v>1708</v>
      </c>
      <c r="B29" s="494" t="n">
        <v>0.005</v>
      </c>
      <c r="C29" s="495"/>
      <c r="D29" s="477" t="str">
        <f aca="false">IF(ISERROR(VLOOKUP($A29,'liste reference'!$A$7:$D$904,2,0)),IF(ISERROR(VLOOKUP($A29,'liste reference'!$B$7:$D$904,1,0)),"",VLOOKUP($A29,'liste reference'!$B$7:$D$904,1,0)),VLOOKUP($A29,'liste reference'!$A$7:$D$904,2,0))</f>
        <v>Agrostis stolonifera</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Agrostis stolonifera</v>
      </c>
      <c r="L29" s="498"/>
      <c r="M29" s="498"/>
      <c r="N29" s="498"/>
      <c r="O29" s="484" t="s">
        <v>2684</v>
      </c>
      <c r="P29" s="485" t="n">
        <f aca="false">IF($A29="NEWCOD",IF($AC29="","No",$AC29),IF(ISTEXT($E29),"DEJA SAISI !",IF($A29="","",IF(ISERROR(VLOOKUP($A29,'liste reference'!A:S,19,FALSE())),IF(ISERROR(VLOOKUP($A29,'liste reference'!B:S,19,FALSE())),"",VLOOKUP($A29,'liste reference'!B:S,19,FALSE())),VLOOKUP($A29,'liste reference'!A:S,19,FALSE())))))</f>
        <v>1543</v>
      </c>
      <c r="Q29" s="486" t="n">
        <f aca="false">IF(ISTEXT(H29),"",(B29*$B$7/100)+(C29*$C$7/100))</f>
        <v>0.005</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489"/>
      <c r="Y29" s="490" t="str">
        <f aca="false">IF(A29="new.cod","NEWCOD",IF(AND((Z29=""),ISTEXT(A29)),A29,IF(Z29="","",INDEX('liste reference'!$A$8:$A$904,Z29))))</f>
        <v>AGRSTO</v>
      </c>
      <c r="Z29" s="280" t="n">
        <f aca="false">IF(ISERROR(MATCH(A29,'liste reference'!$A$8:$A$904,0)),IF(ISERROR(MATCH(A29,'liste reference'!$B$8:$B$904,0)),"",(MATCH(A29,'liste reference'!$B$8:$B$904,0))),(MATCH(A29,'liste reference'!$A$8:$A$904,0)))</f>
        <v>514</v>
      </c>
      <c r="AA29" s="491" t="s">
        <v>2684</v>
      </c>
      <c r="AB29" s="492"/>
      <c r="AC29" s="492"/>
      <c r="BB29" s="280" t="n">
        <f aca="false">IF(A29="","",1)</f>
        <v>1</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VAR</v>
      </c>
      <c r="B84" s="529" t="str">
        <f aca="false">C3</f>
        <v>Touet sur Var</v>
      </c>
      <c r="C84" s="530" t="n">
        <f aca="false">A4</f>
        <v>41507</v>
      </c>
      <c r="D84" s="531" t="n">
        <f aca="false">IF(ISERROR(SUM($T$23:$T$82)/SUM($U$23:$U$82)),"",SUM($T$23:$T$82)/SUM($U$23:$U$82))</f>
        <v>7.66666666666667</v>
      </c>
      <c r="E84" s="532" t="n">
        <f aca="false">N13</f>
        <v>7</v>
      </c>
      <c r="F84" s="529" t="n">
        <f aca="false">N14</f>
        <v>7</v>
      </c>
      <c r="G84" s="529" t="n">
        <f aca="false">N15</f>
        <v>4</v>
      </c>
      <c r="H84" s="529" t="n">
        <f aca="false">N16</f>
        <v>2</v>
      </c>
      <c r="I84" s="529" t="n">
        <f aca="false">N17</f>
        <v>0</v>
      </c>
      <c r="J84" s="533" t="n">
        <f aca="false">N8</f>
        <v>7</v>
      </c>
      <c r="K84" s="531" t="n">
        <f aca="false">N9</f>
        <v>4.0355562548073</v>
      </c>
      <c r="L84" s="532" t="n">
        <f aca="false">N10</f>
        <v>0</v>
      </c>
      <c r="M84" s="532" t="n">
        <f aca="false">N11</f>
        <v>13</v>
      </c>
      <c r="N84" s="531" t="n">
        <f aca="false">O8</f>
        <v>1.14285714285714</v>
      </c>
      <c r="O84" s="531" t="n">
        <f aca="false">O9</f>
        <v>0.63887656499994</v>
      </c>
      <c r="P84" s="532" t="n">
        <f aca="false">O10</f>
        <v>0</v>
      </c>
      <c r="Q84" s="532" t="n">
        <f aca="false">O11</f>
        <v>2</v>
      </c>
      <c r="R84" s="532" t="n">
        <f aca="false">F21</f>
        <v>1.285</v>
      </c>
      <c r="S84" s="532" t="n">
        <f aca="false">K11</f>
        <v>0</v>
      </c>
      <c r="T84" s="532" t="n">
        <f aca="false">K12</f>
        <v>5</v>
      </c>
      <c r="U84" s="532" t="n">
        <f aca="false">K13</f>
        <v>0</v>
      </c>
      <c r="V84" s="534" t="n">
        <f aca="false">K14</f>
        <v>1</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18</v>
      </c>
      <c r="T87" s="280"/>
      <c r="U87" s="280"/>
      <c r="V87" s="280"/>
    </row>
    <row r="88" customFormat="false" ht="12.75" hidden="true" customHeight="false" outlineLevel="0" collapsed="false">
      <c r="P88" s="280"/>
      <c r="Q88" s="280" t="s">
        <v>2688</v>
      </c>
      <c r="R88" s="280"/>
      <c r="S88" s="488" t="n">
        <f aca="false">VLOOKUP((S87),($S$23:$U$82),2,0)</f>
        <v>18</v>
      </c>
      <c r="T88" s="280"/>
      <c r="U88" s="280"/>
      <c r="V88" s="280"/>
    </row>
    <row r="89" customFormat="false" ht="12.75" hidden="true" customHeight="false" outlineLevel="0" collapsed="false">
      <c r="Q89" s="280" t="s">
        <v>2689</v>
      </c>
      <c r="R89" s="280"/>
      <c r="S89" s="488" t="n">
        <f aca="false">VLOOKUP((S87),($S$23:$U$82),3,0)</f>
        <v>3</v>
      </c>
      <c r="T89" s="280"/>
    </row>
    <row r="90" customFormat="false" ht="12.75" hidden="false" customHeight="false" outlineLevel="0" collapsed="false">
      <c r="Q90" s="280" t="s">
        <v>2690</v>
      </c>
      <c r="R90" s="280"/>
      <c r="S90" s="538" t="n">
        <f aca="false">IF(ISERROR(SUM($T$23:$T$82)/SUM($U$23:$U$82)),"",(SUM($T$23:$T$82)-S88)/(SUM($U$23:$U$82)-S89))</f>
        <v>8.22222222222222</v>
      </c>
      <c r="T90" s="280"/>
    </row>
    <row r="91" customFormat="false" ht="12.75" hidden="false" customHeight="false" outlineLevel="0" collapsed="false">
      <c r="Q91" s="487" t="s">
        <v>2691</v>
      </c>
      <c r="R91" s="487"/>
      <c r="S91" s="487" t="str">
        <f aca="false">INDEX('liste reference'!$A$8:$A$904,$T$91)</f>
        <v>CLASPX</v>
      </c>
      <c r="T91" s="280" t="n">
        <f aca="false">IF(ISERROR(MATCH($S$93,'liste reference'!$A$8:$A$904,0)),MATCH($S$93,'liste reference'!$B$8:$B$904,0),(MATCH($S$93,'liste reference'!$A$8:$A$904,0)))</f>
        <v>23</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str">
        <f aca="false">INDEX($A$23:$A$82,$S$92)</f>
        <v>CLASPX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5"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2624</v>
      </c>
      <c r="G16" s="574"/>
      <c r="H16" s="573" t="s">
        <v>2624</v>
      </c>
      <c r="I16" s="575"/>
    </row>
    <row r="17" customFormat="false" ht="15" hidden="false" customHeight="false" outlineLevel="0" collapsed="false">
      <c r="A17" s="565" t="s">
        <v>2127</v>
      </c>
      <c r="B17" s="566" t="s">
        <v>2128</v>
      </c>
      <c r="C17" s="568"/>
      <c r="D17" s="569"/>
      <c r="F17" s="576" t="s">
        <v>2707</v>
      </c>
      <c r="G17" s="577"/>
      <c r="H17" s="576" t="s">
        <v>2707</v>
      </c>
      <c r="I17" s="578"/>
    </row>
    <row r="18" customFormat="false" ht="15" hidden="false" customHeight="false" outlineLevel="0" collapsed="false">
      <c r="A18" s="565" t="s">
        <v>1212</v>
      </c>
      <c r="B18" s="566" t="s">
        <v>1213</v>
      </c>
      <c r="C18" s="568"/>
      <c r="D18" s="569"/>
      <c r="F18" s="576" t="s">
        <v>2708</v>
      </c>
      <c r="G18" s="577"/>
      <c r="H18" s="576" t="s">
        <v>2708</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2713</v>
      </c>
      <c r="G23" s="577"/>
      <c r="H23" s="576" t="s">
        <v>2713</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2014-04-10T16:51:11Z</dcterms:modified>
  <cp:revision>0</cp:revision>
  <dc:subject/>
  <dc:title>Feuille d'aide au calcul de l'IBMR</dc:title>
</cp:coreProperties>
</file>