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10020" sheetId="6" state="visible" r:id="rId8"/>
    <sheet name="jgjg" sheetId="7" state="hidden" r:id="rId9"/>
    <sheet name="liste codes réf" sheetId="8" state="hidden" r:id="rId10"/>
  </sheets>
  <definedNames>
    <definedName function="false" hidden="false" localSheetId="5" name="_xlnm.Print_Area" vbProcedure="false">'06710020'!$A$1:$Q$82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'06710020'!$A$1:$Q$82</definedName>
    <definedName function="false" hidden="false" localSheetId="5" name="_xlnm__FilterDatabase" vbProcedure="false">'06710020'!$A$1:$C$1415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<sst xmlns="http://schemas.openxmlformats.org/spreadsheetml/2006/main" count="8826" uniqueCount="3496">
  <si>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</si>
  <si>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</si>
  <si>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</si>
  <si>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</si>
  <si>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</si>
  <si>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</si>
  <si>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</si>
  <si>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</si>
  <si>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</si>
  <si>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</si>
  <si>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</si>
  <si>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</si>
  <si>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</si>
  <si>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</si>
  <si>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</si>
  <si>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</si>
  <si>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</si>
  <si>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</si>
  <si>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</si>
  <si>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</si>
  <si>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</si>
  <si>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</si>
  <si>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</si>
  <si>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</si>
  <si>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</si>
  <si>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</si>
  <si>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</si>
  <si>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</si>
  <si>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</si>
  <si>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</si>
  <si>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</si>
  <si>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</si>
  <si>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</si>
  <si>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</si>
  <si>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</si>
  <si>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</si>
  <si>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</si>
  <si>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</si>
  <si>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</si>
  <si>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</si>
  <si>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</si>
  <si>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</si>
  <si>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</si>
  <si>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</si>
  <si>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</si>
  <si>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</si>
  <si>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</si>
  <si>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</si>
  <si>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</si>
  <si>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</si>
  <si>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</si>
  <si>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</si>
  <si>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</si>
  <si>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</si>
  <si>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</si>
  <si>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</si>
  <si>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</si>
  <si>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</si>
  <si>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</si>
  <si>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</si>
  <si>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</si>
  <si>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</si>
  <si>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</si>
  <si>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</si>
  <si>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</si>
  <si>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</si>
  <si>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</si>
  <si>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</si>
  <si>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</si>
  <si>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</si>
  <si>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</si>
  <si>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</si>
  <si>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</si>
  <si>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</si>
  <si>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</si>
  <si>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</si>
  <si>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</si>
  <si>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</si>
  <si>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</si>
  <si>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</si>
  <si>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</si>
  <si>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</si>
  <si>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</si>
  <si>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</si>
  <si>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</si>
  <si>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</si>
  <si>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</si>
  <si>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</si>
  <si>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</si>
  <si>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</si>
  <si>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</si>
  <si>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</si>
  <si>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</si>
  <si>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</si>
  <si>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</si>
  <si>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</si>
  <si>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</si>
  <si>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</si>
  <si>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</si>
  <si>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</si>
  <si>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</si>
  <si>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</si>
  <si>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</si>
  <si>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</si>
  <si>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</si>
  <si>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</si>
  <si>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</si>
  <si>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</si>
  <si>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</si>
  <si>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</si>
  <si>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</si>
  <si>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</si>
  <si>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</si>
  <si>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</si>
  <si>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</si>
  <si>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</si>
  <si>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</si>
  <si>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</si>
  <si>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</si>
  <si>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</si>
  <si>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</si>
  <si>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</si>
  <si>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</si>
  <si>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</si>
  <si>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</si>
  <si>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</si>
  <si>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</si>
  <si>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</si>
  <si>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</si>
  <si>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</si>
  <si>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</si>
  <si>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</si>
  <si>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</si>
  <si>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</si>
  <si>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</si>
  <si>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</si>
  <si>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</si>
  <si>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</si>
  <si>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</si>
  <si>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</si>
  <si>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</si>
  <si>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</si>
  <si>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</si>
  <si>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</si>
  <si>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</si>
  <si>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</si>
  <si>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</si>
  <si>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</si>
  <si>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</si>
  <si>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</si>
  <si>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</si>
  <si>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</si>
  <si>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</si>
  <si>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</si>
  <si>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</si>
  <si>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</si>
  <si>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</si>
  <si>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</si>
  <si>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</si>
  <si>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</si>
  <si>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</si>
  <si>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</si>
  <si>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</si>
  <si>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</si>
  <si>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</si>
  <si>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</si>
  <si>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</si>
  <si>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</si>
  <si>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</si>
  <si>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</si>
  <si>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</si>
  <si>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</si>
  <si>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</si>
  <si>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</si>
  <si>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</si>
  <si>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</si>
  <si>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</si>
  <si>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</si>
  <si>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</si>
  <si>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</si>
  <si>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</si>
  <si>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</si>
  <si>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</si>
  <si>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</si>
  <si>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</si>
  <si>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</si>
  <si>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</si>
  <si>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</si>
  <si>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</si>
  <si>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</si>
  <si>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</si>
  <si>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</si>
  <si>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</si>
  <si>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</si>
  <si>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</si>
  <si>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</si>
  <si>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</si>
  <si>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</si>
  <si>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</si>
  <si>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</si>
  <si>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</si>
  <si>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</si>
  <si>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</si>
  <si>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</si>
  <si>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</si>
  <si>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</si>
  <si>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</si>
  <si>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</si>
  <si>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</si>
  <si>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</si>
  <si>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</si>
  <si>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</si>
  <si>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</si>
  <si>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</si>
  <si>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</si>
  <si>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</si>
  <si>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</si>
  <si>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</si>
  <si>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</si>
  <si>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</si>
  <si>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</si>
  <si>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</si>
  <si>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</si>
  <si>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</si>
  <si>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</si>
  <si>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</si>
  <si>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</si>
  <si>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</si>
  <si>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</si>
  <si>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</si>
  <si>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</si>
  <si>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</si>
  <si>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</si>
  <si>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</si>
  <si>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</si>
  <si>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</si>
  <si>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</si>
  <si>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</si>
  <si>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</si>
  <si>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</si>
  <si>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</si>
  <si>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</si>
  <si>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</si>
  <si>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</si>
  <si>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</si>
  <si>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</si>
  <si>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</si>
  <si>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</si>
  <si>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</si>
  <si>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</si>
  <si>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</si>
  <si>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</si>
  <si>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</si>
  <si>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</si>
  <si>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</si>
  <si>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</si>
  <si>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</si>
  <si>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</si>
  <si>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</si>
  <si>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</si>
  <si>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</si>
  <si>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</si>
  <si>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</si>
  <si>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</si>
  <si>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</si>
  <si>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</si>
  <si>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</si>
  <si>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</si>
  <si>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</si>
  <si>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</si>
  <si>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</si>
  <si>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</si>
  <si>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</si>
  <si>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</si>
  <si>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</si>
  <si>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</si>
  <si>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</si>
  <si>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</si>
  <si>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</si>
  <si>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</si>
  <si>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</si>
  <si>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</si>
  <si>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</si>
  <si>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</si>
  <si>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</si>
  <si>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</si>
  <si>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</si>
  <si>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</si>
  <si>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</si>
  <si>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</si>
  <si>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</si>
  <si>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</si>
  <si>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</si>
  <si>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</si>
  <si>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</si>
  <si>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</si>
  <si>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</si>
  <si>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</si>
  <si>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</si>
  <si>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</si>
  <si>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</si>
  <si>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</si>
  <si>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</si>
  <si>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</si>
  <si>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</si>
  <si>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</si>
  <si>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</si>
  <si>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</si>
  <si>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</si>
  <si>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</si>
  <si>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</si>
  <si>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</si>
  <si>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</si>
  <si>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</si>
  <si>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</si>
  <si>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</si>
  <si>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</si>
  <si>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</si>
  <si>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</si>
  <si>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</si>
  <si>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</si>
  <si>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</si>
  <si>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</si>
  <si>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</si>
  <si>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</si>
  <si>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</si>
  <si>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</si>
  <si>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</si>
  <si>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</si>
  <si>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</si>
  <si>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</si>
  <si>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</si>
  <si>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</si>
  <si>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</si>
  <si>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</si>
  <si>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</si>
  <si>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</si>
  <si>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</si>
  <si>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</si>
  <si>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</si>
  <si>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</si>
  <si>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</si>
  <si>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</si>
  <si>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</si>
  <si>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</si>
  <si>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</si>
  <si>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</si>
  <si>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</si>
  <si>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</si>
  <si>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</si>
  <si>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</si>
  <si>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</si>
  <si>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</si>
  <si>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</si>
  <si>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</si>
  <si>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</si>
  <si>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</si>
  <si>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</si>
  <si>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</si>
  <si>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</si>
  <si>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</si>
  <si>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</si>
  <si>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</si>
  <si>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</si>
  <si>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</si>
  <si>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</si>
  <si>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</si>
  <si>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</si>
  <si>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</si>
  <si>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</si>
  <si>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</si>
  <si>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</si>
  <si>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</si>
  <si>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</si>
  <si>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</si>
  <si>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</si>
  <si>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</si>
  <si>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</si>
  <si>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</si>
  <si>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</si>
  <si>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</si>
  <si>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</si>
  <si>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</si>
  <si>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</si>
  <si>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</si>
  <si>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</si>
  <si>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</si>
  <si>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</si>
  <si>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</si>
  <si>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</si>
  <si>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</si>
  <si>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</si>
  <si>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</si>
  <si>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</si>
  <si>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</si>
  <si>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</si>
  <si>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</si>
  <si>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</si>
  <si>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</si>
  <si>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</si>
  <si>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</si>
  <si>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</si>
  <si>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</si>
  <si>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</si>
  <si>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</si>
  <si>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</si>
  <si>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</si>
  <si>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</si>
  <si>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</si>
  <si>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</si>
  <si>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</si>
  <si>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</si>
  <si>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</si>
  <si>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</si>
  <si>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</si>
  <si>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</si>
  <si>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</si>
  <si>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</si>
  <si>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</si>
  <si>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</si>
  <si>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</si>
  <si>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</si>
  <si>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</si>
  <si>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</si>
  <si>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</si>
  <si>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</si>
  <si>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</si>
  <si>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</si>
  <si>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</si>
  <si>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</si>
  <si>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</si>
  <si>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</si>
  <si>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</si>
  <si>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</si>
  <si>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</si>
  <si>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</si>
  <si>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</si>
  <si>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</si>
  <si>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</si>
  <si>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</si>
  <si>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</si>
  <si>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</si>
  <si>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</si>
  <si>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</si>
  <si>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</si>
  <si>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</si>
  <si>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</si>
  <si>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</si>
  <si>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</si>
  <si>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</si>
  <si>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</si>
  <si>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</si>
  <si>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</si>
  <si>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</si>
  <si>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</si>
  <si>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</si>
  <si>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</si>
  <si>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</si>
  <si>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</si>
  <si>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</si>
  <si>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</si>
  <si>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</si>
  <si>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</si>
  <si>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</si>
  <si>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</si>
  <si>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</si>
  <si>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</si>
  <si>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</si>
  <si>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</si>
  <si>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</si>
  <si>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</si>
  <si>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</si>
  <si>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</si>
  <si>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</si>
  <si>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</si>
  <si>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</si>
  <si>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</si>
  <si>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</si>
  <si>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</si>
  <si>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</si>
  <si>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</si>
  <si>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</si>
  <si>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</si>
  <si>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</si>
  <si>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</si>
  <si>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</si>
  <si>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</si>
  <si>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</si>
  <si>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</si>
  <si>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</si>
  <si>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</si>
  <si>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</si>
  <si>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</si>
  <si>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</si>
  <si>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</si>
  <si>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</si>
  <si>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</si>
  <si>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</si>
  <si>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</si>
  <si>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</si>
  <si>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</si>
  <si>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</si>
  <si>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</si>
  <si>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</si>
  <si>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</si>
  <si>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</si>
  <si>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</si>
  <si>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</si>
  <si>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</si>
  <si>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</si>
  <si>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</si>
  <si>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</si>
  <si>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</si>
  <si>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</si>
  <si>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</si>
  <si>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</si>
  <si>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</si>
  <si>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</si>
  <si>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</si>
  <si>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</si>
  <si>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</si>
  <si>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</si>
  <si>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</si>
  <si>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</si>
  <si>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</si>
  <si>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</si>
  <si>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</si>
  <si>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</si>
  <si>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</si>
  <si>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</si>
  <si>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</si>
  <si>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</si>
  <si>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</si>
  <si>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</si>
  <si>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</si>
  <si>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</si>
  <si>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</si>
  <si>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</si>
  <si>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</si>
  <si>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</si>
  <si>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</si>
  <si>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</si>
  <si>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</si>
  <si>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</si>
  <si>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</si>
  <si>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</si>
  <si>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</si>
  <si>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</si>
  <si>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</si>
  <si>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</si>
  <si>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</si>
  <si>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</si>
  <si>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</si>
  <si>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</si>
  <si>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</si>
  <si>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</si>
  <si>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</si>
  <si>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</si>
  <si>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</si>
  <si>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</si>
  <si>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</si>
  <si>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</si>
  <si>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</si>
  <si>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</si>
  <si>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</si>
  <si>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</si>
  <si>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</si>
  <si>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</si>
  <si>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</si>
  <si>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</si>
  <si>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</si>
  <si>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</si>
  <si>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</si>
  <si>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</si>
  <si>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</si>
  <si>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</si>
  <si>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</si>
  <si>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</si>
  <si>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</si>
  <si>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</si>
  <si>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</si>
  <si>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</si>
  <si>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</si>
  <si>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</si>
  <si>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</si>
  <si>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</si>
  <si>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</si>
  <si>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</si>
  <si>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</si>
  <si>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</si>
  <si>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</si>
  <si>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</si>
  <si>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</si>
  <si>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</si>
  <si>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</si>
  <si>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</si>
  <si>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</si>
  <si>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</si>
  <si>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</si>
  <si>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</si>
  <si>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</si>
  <si>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</si>
  <si>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</si>
  <si>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</si>
  <si>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</si>
  <si>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</si>
  <si>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</si>
  <si>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</si>
  <si>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</si>
  <si>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</si>
  <si>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</si>
  <si>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</si>
  <si>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</si>
  <si>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</si>
  <si>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</si>
  <si>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</si>
  <si>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</si>
  <si>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</si>
  <si>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</si>
  <si>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</si>
  <si>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</si>
  <si>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</si>
  <si>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</si>
  <si>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</si>
  <si>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</si>
  <si>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</si>
  <si>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</si>
  <si>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</si>
  <si>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</si>
  <si>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</si>
  <si>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</si>
  <si>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</si>
  <si>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</si>
  <si>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</si>
  <si>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</si>
  <si>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</si>
  <si>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</si>
  <si>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</si>
  <si>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</si>
  <si>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</si>
  <si>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</si>
  <si>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</si>
  <si>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</si>
  <si>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</si>
  <si>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</si>
  <si>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</si>
  <si>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</si>
  <si>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</si>
  <si>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</si>
  <si>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</si>
  <si>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</si>
  <si>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</si>
  <si>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</si>
  <si>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</si>
  <si>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</si>
  <si>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</si>
  <si>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</si>
  <si>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</si>
  <si>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</si>
  <si>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</si>
  <si>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</si>
  <si>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</si>
  <si>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</si>
  <si>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</si>
  <si>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</si>
  <si>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</si>
  <si>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</si>
  <si>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</si>
  <si>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</si>
  <si>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</si>
  <si>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</si>
  <si>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</si>
  <si>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</si>
  <si>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</si>
  <si>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</si>
  <si>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</si>
  <si>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</si>
  <si>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</si>
  <si>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</si>
  <si>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</si>
  <si>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</si>
  <si>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</si>
  <si>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</si>
  <si>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</si>
  <si>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</si>
  <si>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</si>
  <si>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</si>
  <si>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</si>
  <si>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</si>
  <si>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</si>
  <si>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</si>
  <si>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</si>
  <si>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</si>
  <si>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</si>
  <si>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</si>
  <si>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</si>
  <si>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</si>
  <si>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</si>
  <si>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</si>
  <si>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</si>
  <si>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</si>
  <si>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</si>
  <si>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</si>
  <si>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</si>
  <si>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</si>
  <si>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</si>
  <si>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</si>
  <si>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</si>
  <si>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</si>
  <si>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</si>
  <si>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</si>
  <si>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</si>
  <si>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</si>
  <si>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</si>
  <si>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</si>
  <si>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</si>
  <si>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</si>
  <si>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</si>
  <si>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</si>
  <si>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</si>
  <si>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</si>
  <si>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</si>
  <si>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</si>
  <si>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</si>
  <si>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</si>
  <si>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</si>
  <si>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</si>
  <si>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</si>
  <si>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</si>
  <si>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</si>
  <si>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</si>
  <si>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</si>
  <si>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</si>
  <si>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</si>
  <si>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</si>
  <si>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</si>
  <si>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</si>
  <si>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</si>
  <si>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</si>
  <si>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</si>
  <si>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</si>
  <si>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</si>
  <si>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</si>
  <si>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</si>
  <si>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</si>
  <si>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</si>
  <si>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</si>
  <si>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</si>
  <si>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</si>
  <si>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</si>
  <si>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</si>
  <si>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</si>
  <si>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</si>
  <si>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</si>
  <si>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</si>
  <si>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</si>
  <si>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</si>
  <si>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</si>
  <si>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</si>
  <si>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</si>
  <si>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</si>
  <si>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</si>
  <si>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</si>
  <si>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</si>
  <si>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</si>
  <si>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</si>
  <si>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</si>
  <si>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</si>
  <si>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</si>
  <si>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</si>
  <si>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</si>
  <si>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</si>
  <si>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</si>
  <si>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</si>
  <si>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</si>
  <si>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</si>
  <si>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</si>
  <si>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</si>
  <si>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</si>
  <si>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</si>
  <si>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</si>
  <si>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</si>
  <si>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</si>
  <si>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</si>
  <si>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</si>
  <si>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</si>
  <si>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</si>
  <si>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</si>
  <si>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</si>
  <si>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</si>
  <si>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</si>
  <si>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</si>
  <si>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</si>
  <si>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</si>
  <si>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</si>
  <si>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</si>
  <si>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</si>
  <si>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</si>
  <si>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</si>
  <si>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</si>
  <si>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</si>
  <si>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</si>
  <si>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</si>
  <si>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</si>
  <si>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</si>
  <si>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</si>
  <si>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</si>
  <si>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</si>
  <si>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</si>
  <si>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</si>
  <si>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</si>
  <si>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</si>
  <si>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</si>
  <si>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</si>
  <si>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</si>
  <si>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</si>
  <si>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</si>
  <si>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</si>
  <si>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</si>
  <si>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</si>
  <si>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</si>
  <si>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</si>
  <si>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</si>
  <si>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</si>
  <si>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</si>
  <si>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</si>
  <si>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</si>
  <si>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</si>
  <si>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</si>
  <si>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</si>
  <si>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</si>
  <si>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</si>
  <si>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</si>
  <si>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</si>
  <si>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</si>
  <si>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</si>
  <si>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</si>
  <si>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</si>
  <si>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</si>
  <si>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</si>
  <si>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</si>
  <si>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</si>
  <si>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</si>
  <si>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</si>
  <si>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</si>
  <si>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</si>
  <si>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</si>
  <si>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</si>
  <si>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</si>
  <si>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</si>
  <si>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</si>
  <si>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</si>
  <si>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</si>
  <si>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</si>
  <si>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</si>
  <si>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</si>
  <si>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</si>
  <si>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</si>
  <si>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</si>
  <si>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</si>
  <si>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</si>
  <si>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</si>
  <si>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</si>
  <si>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</si>
  <si>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</si>
  <si>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</si>
  <si>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</si>
  <si>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</si>
  <si>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</si>
  <si>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</si>
  <si>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</si>
  <si>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</si>
  <si>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</si>
  <si>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</si>
  <si>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</si>
  <si>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</si>
  <si>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</si>
  <si>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</si>
  <si>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</si>
  <si>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</si>
  <si>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</si>
  <si>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</si>
  <si>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</si>
  <si>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</si>
  <si>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</si>
  <si>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</si>
  <si>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</si>
  <si>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</si>
  <si>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</si>
  <si>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</si>
  <si>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</si>
  <si>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</si>
  <si>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</si>
  <si>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</si>
  <si>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</si>
  <si>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</si>
  <si>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</si>
  <si>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</si>
  <si>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</si>
  <si>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</si>
  <si>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</si>
  <si>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</si>
  <si>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</si>
  <si>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</si>
  <si>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</si>
  <si>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</si>
  <si>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</si>
  <si>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</si>
  <si>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</si>
  <si>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</si>
  <si>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</si>
  <si>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</si>
  <si>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</si>
  <si>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</si>
  <si>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</si>
  <si>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</si>
  <si>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</si>
  <si>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</si>
  <si>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</si>
  <si>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</si>
  <si>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</si>
  <si>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</si>
  <si>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</si>
  <si>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</si>
  <si>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</si>
  <si>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</si>
  <si>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</si>
  <si>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</si>
  <si>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</si>
  <si>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</si>
  <si>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</si>
  <si>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</si>
  <si>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</si>
  <si>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</si>
  <si>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</si>
  <si>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</si>
  <si>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</si>
  <si>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</si>
  <si>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</si>
  <si>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</si>
  <si>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</si>
  <si>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</si>
  <si>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</si>
  <si>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</si>
  <si>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</si>
  <si>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</si>
  <si>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</si>
  <si>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</si>
  <si>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</si>
  <si>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</si>
  <si>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</si>
  <si>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</si>
  <si>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</si>
  <si>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</si>
  <si>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</si>
  <si>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</si>
  <si>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</si>
  <si>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</si>
  <si>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</si>
  <si>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</si>
  <si>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</si>
  <si>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</si>
  <si>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</si>
  <si>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</si>
  <si>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</si>
  <si>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</si>
  <si>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</si>
  <si>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</si>
  <si>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</si>
  <si>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</si>
  <si>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</si>
  <si>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</si>
  <si>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</si>
  <si>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</si>
  <si>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</si>
  <si>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</si>
  <si>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</si>
  <si>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</si>
  <si>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</si>
  <si>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</si>
  <si>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</si>
  <si>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</si>
  <si>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</si>
  <si>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</si>
  <si>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</si>
  <si>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</si>
  <si>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</si>
  <si>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</si>
  <si>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</si>
  <si>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</si>
  <si>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</si>
  <si>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</si>
  <si>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</si>
  <si>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</si>
  <si>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</si>
  <si>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</si>
  <si>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</si>
  <si>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</si>
  <si>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</si>
  <si>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</si>
  <si>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</si>
  <si>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</si>
  <si>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</si>
  <si>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</si>
  <si>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</si>
  <si>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</si>
  <si>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</si>
  <si>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</si>
  <si>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</si>
  <si>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</si>
  <si>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</si>
  <si>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</si>
  <si>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</si>
  <si>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</si>
  <si>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</si>
  <si>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</si>
  <si>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</si>
  <si>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</si>
  <si>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</si>
  <si>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</si>
  <si>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</si>
  <si>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</si>
  <si>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</si>
  <si>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</si>
  <si>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</si>
  <si>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</si>
  <si>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</si>
  <si>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</si>
  <si>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</si>
  <si>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</si>
  <si>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</si>
  <si>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</si>
  <si>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</si>
  <si>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</si>
  <si>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</si>
  <si>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</si>
  <si>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</si>
  <si>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</si>
  <si>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</si>
  <si>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</si>
  <si>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</si>
  <si>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</si>
  <si>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</si>
  <si>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</si>
  <si>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</si>
  <si>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</si>
  <si>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</si>
  <si>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</si>
  <si>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</si>
  <si>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</si>
  <si>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</si>
  <si>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</si>
  <si>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</si>
  <si>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</si>
  <si>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</si>
  <si>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</si>
  <si>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</si>
  <si>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</si>
  <si>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</si>
  <si>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</si>
  <si>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</si>
  <si>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</si>
  <si>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</si>
  <si>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</si>
  <si>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</si>
  <si>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</si>
  <si>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</si>
  <si>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</si>
  <si>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</si>
  <si>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</si>
  <si>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</si>
  <si>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</si>
  <si>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</si>
  <si>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</si>
  <si>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</si>
  <si>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</si>
  <si>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</si>
  <si>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</si>
  <si>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</si>
  <si>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</si>
  <si>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</si>
  <si>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</si>
  <si>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</si>
  <si>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</si>
  <si>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</si>
  <si>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</si>
  <si>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</si>
  <si>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</si>
  <si>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</si>
  <si>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</si>
  <si>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</si>
  <si>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</si>
  <si>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</si>
  <si>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</si>
  <si>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</si>
  <si>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</si>
  <si>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</si>
  <si>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</si>
  <si>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</si>
  <si>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</si>
  <si>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</si>
  <si>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</si>
  <si>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</si>
  <si>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</si>
  <si>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</si>
  <si>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</si>
  <si>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</si>
  <si>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</si>
  <si>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</si>
  <si>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</si>
  <si>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</si>
  <si>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</si>
  <si>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</si>
  <si>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</si>
  <si>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</si>
  <si>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</si>
  <si>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</si>
  <si>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</si>
  <si>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</si>
  <si>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</si>
  <si>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</si>
  <si>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</si>
  <si>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</si>
  <si>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</si>
  <si>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</si>
  <si>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</si>
  <si>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</si>
  <si>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</si>
  <si>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</si>
  <si>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</si>
  <si>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</si>
  <si>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</si>
  <si>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</si>
  <si>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</si>
  <si>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</si>
  <si>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</si>
  <si>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</si>
  <si>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</si>
  <si>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</si>
  <si>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</si>
  <si>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</si>
  <si>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</si>
  <si>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</si>
  <si>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</si>
  <si>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</si>
  <si>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</si>
  <si>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</si>
  <si>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</si>
  <si>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</si>
  <si>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</si>
  <si>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</si>
  <si>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</si>
  <si>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</si>
  <si>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</si>
  <si>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</si>
  <si>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</si>
  <si>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</si>
  <si>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</si>
  <si>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</si>
  <si>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</si>
  <si>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</si>
  <si>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</si>
  <si>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</si>
  <si>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</si>
  <si>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</si>
  <si>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</si>
  <si>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</si>
  <si>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</si>
  <si>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</si>
  <si>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</si>
  <si>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</si>
  <si>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</si>
  <si>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</si>
  <si>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</si>
  <si>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</si>
  <si>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</si>
  <si>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</si>
  <si>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</si>
  <si>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</si>
  <si>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</si>
  <si>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</si>
  <si>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</si>
  <si>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</si>
  <si>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</si>
  <si>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</si>
  <si>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</si>
  <si>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</si>
  <si>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</si>
  <si>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</si>
  <si>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</si>
  <si>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</si>
  <si>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</si>
  <si>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</si>
  <si>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</si>
  <si>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</si>
  <si>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</si>
  <si>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</si>
  <si>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</si>
  <si>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</si>
  <si>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</si>
  <si>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</si>
  <si>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</si>
  <si>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</si>
  <si>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</si>
  <si>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</si>
  <si>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</si>
  <si>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</si>
  <si>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</si>
  <si>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</si>
  <si>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</si>
  <si>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</si>
  <si>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</si>
  <si>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</si>
  <si>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</si>
  <si>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</si>
  <si>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</si>
  <si>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</si>
  <si>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</si>
  <si>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</si>
  <si>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</si>
  <si>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</si>
  <si>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</si>
  <si>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</si>
  <si>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</si>
  <si>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</si>
  <si>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</si>
  <si>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</si>
  <si>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</si>
  <si>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</si>
  <si>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</si>
  <si>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</si>
  <si>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</si>
  <si>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</si>
  <si>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</si>
  <si>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</si>
  <si>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</si>
  <si>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</si>
  <si>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</si>
  <si>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</si>
  <si>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</si>
  <si>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</si>
  <si>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</si>
  <si>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</si>
  <si>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</si>
  <si>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</si>
  <si>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</si>
  <si>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</si>
  <si>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</si>
  <si>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</si>
  <si>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</si>
  <si>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</si>
  <si>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</si>
  <si>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</si>
  <si>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</si>
  <si>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</si>
  <si>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</si>
  <si>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</si>
  <si>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</si>
  <si>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</si>
  <si>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</si>
  <si>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</si>
  <si>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</si>
  <si>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</si>
  <si>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</si>
  <si>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</si>
  <si>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</si>
  <si>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</si>
  <si>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</si>
  <si>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</si>
  <si>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</si>
  <si>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</si>
  <si>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</si>
  <si>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</si>
  <si>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</si>
  <si>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</si>
  <si>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</si>
  <si>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</si>
  <si>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</si>
  <si>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</si>
  <si>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</si>
  <si>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</si>
  <si>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</si>
  <si>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</si>
  <si>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</si>
  <si>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</si>
  <si>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</si>
  <si>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</si>
  <si>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</si>
  <si>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</si>
  <si>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</si>
  <si>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</si>
  <si>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</si>
  <si>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</si>
  <si>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</si>
  <si>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</si>
  <si>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</si>
  <si>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</si>
  <si>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</si>
  <si>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</si>
  <si>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</si>
  <si>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</si>
  <si>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</si>
  <si>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</si>
  <si>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</si>
  <si>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</si>
  <si>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</si>
  <si>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</si>
  <si>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</si>
  <si>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</si>
  <si>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</si>
  <si>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</si>
  <si>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</si>
  <si>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</si>
  <si>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</si>
  <si>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</si>
  <si>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</si>
  <si>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</si>
  <si>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</si>
  <si>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</si>
  <si>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</si>
  <si>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</si>
  <si>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</si>
  <si>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</si>
  <si>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</si>
  <si>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</si>
  <si>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</si>
  <si>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</si>
  <si>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</si>
  <si>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</si>
  <si>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</si>
  <si>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</si>
  <si>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</si>
  <si>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</si>
  <si>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</si>
  <si>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</si>
  <si>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</si>
  <si>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</si>
  <si>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</si>
  <si>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</si>
  <si>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</si>
  <si>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</si>
  <si>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</si>
  <si>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</si>
  <si>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</si>
  <si>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</si>
  <si>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</si>
  <si>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</si>
  <si>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</si>
  <si>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</si>
  <si>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</si>
  <si>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</si>
  <si>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</si>
  <si>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</si>
  <si>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</si>
  <si>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</si>
  <si>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</si>
  <si>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</si>
  <si>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</si>
  <si>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</si>
  <si>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</si>
  <si>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</si>
  <si>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</si>
  <si>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</si>
  <si>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</si>
  <si>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</si>
  <si>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</si>
  <si>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</si>
  <si>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</si>
  <si>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</si>
  <si>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</si>
  <si>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</si>
  <si>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</si>
  <si>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</si>
  <si>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</si>
  <si>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</si>
  <si>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</si>
  <si>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</si>
  <si>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</si>
  <si>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</si>
  <si>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</si>
  <si>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</si>
  <si>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</si>
  <si>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</si>
  <si>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</si>
  <si>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</si>
  <si>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</si>
  <si>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</si>
  <si>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</si>
  <si>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</si>
  <si>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</si>
  <si>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</si>
  <si>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</si>
  <si>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</si>
  <si>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</si>
  <si>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</si>
  <si>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</si>
  <si>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</si>
  <si>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</si>
  <si>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</si>
  <si>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</si>
  <si>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</si>
  <si>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</si>
  <si>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</si>
  <si>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</si>
  <si>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</si>
  <si>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</si>
  <si>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</si>
  <si>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</si>
  <si>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</si>
  <si>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</si>
  <si>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</si>
  <si>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</si>
  <si>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</si>
  <si>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</si>
  <si>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</si>
  <si>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</si>
  <si>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</si>
  <si>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</si>
  <si>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</si>
  <si>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</si>
  <si>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</si>
  <si>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</si>
  <si>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</si>
  <si>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</si>
  <si>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</si>
  <si>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</si>
  <si>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</si>
  <si>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</si>
  <si>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</si>
  <si>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</si>
  <si>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</si>
  <si>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</si>
  <si>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</si>
  <si>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</si>
  <si>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</si>
  <si>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</si>
  <si>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</si>
  <si>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</si>
  <si>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</si>
  <si>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</si>
  <si>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</si>
  <si>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</si>
  <si>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</si>
  <si>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</si>
  <si>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</si>
  <si>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</si>
  <si>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</si>
  <si>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</si>
  <si>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</si>
  <si>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</si>
  <si>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</si>
  <si>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</si>
  <si>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</si>
  <si>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</si>
  <si>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</si>
  <si>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</si>
  <si>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</si>
  <si>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</si>
  <si>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</si>
  <si>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</si>
  <si>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</si>
  <si>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</si>
  <si>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</si>
  <si>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</si>
  <si>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</si>
  <si>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</si>
  <si>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</si>
  <si>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</si>
  <si>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</si>
  <si>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</si>
  <si>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</si>
  <si>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</si>
  <si>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</si>
  <si>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</si>
  <si>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</si>
  <si>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</si>
  <si>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</si>
  <si>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</si>
  <si>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</si>
  <si>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</si>
  <si>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</si>
  <si>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</si>
  <si>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</si>
  <si>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</si>
  <si>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</si>
  <si>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</si>
  <si>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</si>
  <si>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</si>
  <si>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</si>
  <si>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</si>
  <si>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</si>
  <si>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</si>
  <si>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</si>
  <si>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</si>
  <si>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</si>
  <si>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</si>
  <si>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</si>
  <si>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</si>
  <si>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</si>
  <si>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</si>
  <si>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</si>
  <si>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</si>
  <si>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</si>
  <si>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</si>
  <si>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</si>
  <si>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</si>
  <si>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</si>
  <si>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</si>
  <si>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</si>
  <si>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</si>
  <si>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</si>
  <si>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</si>
  <si>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</si>
  <si>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</si>
  <si>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</si>
  <si>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</si>
  <si>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</si>
  <si>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</si>
  <si>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</si>
  <si>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</si>
  <si>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</si>
  <si>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</si>
  <si>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</si>
  <si>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</si>
  <si>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</si>
  <si>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</si>
  <si>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</si>
  <si>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</si>
  <si>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</si>
  <si>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</si>
  <si>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</si>
  <si>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</si>
  <si>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</si>
  <si>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</si>
  <si>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</si>
  <si>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</si>
  <si>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</si>
  <si>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</si>
  <si>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</si>
  <si>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</si>
  <si>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</si>
  <si>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</si>
  <si>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</si>
  <si>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</si>
  <si>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</si>
  <si>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</si>
  <si>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</si>
  <si>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</si>
  <si>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</si>
  <si>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</si>
  <si>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</si>
  <si>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</si>
  <si>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</si>
  <si>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</si>
  <si>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</si>
  <si>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</si>
  <si>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</si>
  <si>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</si>
  <si>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</si>
  <si>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</si>
  <si>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</si>
  <si>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</si>
  <si>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</si>
  <si>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</si>
  <si>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</si>
  <si>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</si>
  <si>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</si>
  <si>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</si>
  <si>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</si>
  <si>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</si>
  <si>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</si>
  <si>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</si>
  <si>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</si>
  <si>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</si>
  <si>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</si>
  <si>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</si>
  <si>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</si>
  <si>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</si>
  <si>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</si>
  <si>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</si>
  <si>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</si>
  <si>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</si>
  <si>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</si>
  <si>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</si>
  <si>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</si>
  <si>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</si>
  <si>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</si>
  <si>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</si>
  <si>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</si>
  <si>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</si>
  <si>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</si>
  <si>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</si>
  <si>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</si>
  <si>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</si>
  <si>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</si>
  <si>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</si>
  <si>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</si>
  <si>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</si>
  <si>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</si>
  <si>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</si>
  <si>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</si>
  <si>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</si>
  <si>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</si>
  <si>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</si>
  <si>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</si>
  <si>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</si>
  <si>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</si>
  <si>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</si>
  <si>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</si>
  <si>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</si>
  <si>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</si>
  <si>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</si>
  <si>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</si>
  <si>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</si>
  <si>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</si>
  <si>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</si>
  <si>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</si>
  <si>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</si>
  <si>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</si>
  <si>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</si>
  <si>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</si>
  <si>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</si>
  <si>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</si>
  <si>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</si>
  <si>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</si>
  <si>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</si>
  <si>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</si>
  <si>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</si>
  <si>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</si>
  <si>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</si>
  <si>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</si>
  <si>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</si>
  <si>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</si>
  <si>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</si>
  <si>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</si>
  <si>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</si>
  <si>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</si>
  <si>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</si>
  <si>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</si>
  <si>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</si>
  <si>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</si>
  <si>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</si>
  <si>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</si>
  <si>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</si>
  <si>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</si>
  <si>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</si>
  <si>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</si>
  <si>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</si>
  <si>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</si>
  <si>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</si>
  <si>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</si>
  <si>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</si>
  <si>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</si>
  <si>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</si>
  <si>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</si>
  <si>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</si>
  <si>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</si>
  <si>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</si>
  <si>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</si>
  <si>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</si>
  <si>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</si>
  <si>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</si>
  <si>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</si>
  <si>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</si>
  <si>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</si>
  <si>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</si>
  <si>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</si>
  <si>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</si>
  <si>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</si>
  <si>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</si>
  <si>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</si>
  <si>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</si>
  <si>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</si>
  <si>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</si>
  <si>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</si>
  <si>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</si>
  <si>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</si>
  <si>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</si>
  <si>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</si>
  <si>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</si>
  <si>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</si>
  <si>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</si>
  <si>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</si>
  <si>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</si>
  <si>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</si>
  <si>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</si>
  <si>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</si>
  <si>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</si>
  <si>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</si>
  <si>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</si>
  <si>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</si>
  <si>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</si>
  <si>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</si>
  <si>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</si>
  <si>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</si>
  <si>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</si>
  <si>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</si>
  <si>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</si>
  <si>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</si>
  <si>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</si>
  <si>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</si>
  <si>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</si>
  <si>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</si>
  <si>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</si>
  <si>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</si>
  <si>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</si>
  <si>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</si>
  <si>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</si>
  <si>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</si>
  <si>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</si>
  <si>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</si>
  <si>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</si>
  <si>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</si>
  <si>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</si>
  <si>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</si>
  <si>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</si>
  <si>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</si>
  <si>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</si>
  <si>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</si>
  <si>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</si>
  <si>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</si>
  <si>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</si>
  <si>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</si>
  <si>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</si>
  <si>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</si>
  <si>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</si>
  <si>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</si>
  <si>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</si>
  <si>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</si>
  <si>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</si>
  <si>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</si>
  <si>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</si>
  <si>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</si>
  <si>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</si>
  <si>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</si>
  <si>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</si>
  <si>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</si>
  <si>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</si>
  <si>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</si>
  <si>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</si>
  <si>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</si>
  <si>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</si>
  <si>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</si>
  <si>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</si>
  <si>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</si>
  <si>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</si>
  <si>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</si>
  <si>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</si>
  <si>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</si>
  <si>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</si>
  <si>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</si>
  <si>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</si>
  <si>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</si>
  <si>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</si>
  <si>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</si>
  <si>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</si>
  <si>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</si>
  <si>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</si>
  <si>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</si>
  <si>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</si>
  <si>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</si>
  <si>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</si>
  <si>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</si>
  <si>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</si>
  <si>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</si>
  <si>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</si>
  <si>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</si>
  <si>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</si>
  <si>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</si>
  <si>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</si>
  <si>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</si>
  <si>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</si>
  <si>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</si>
  <si>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</si>
  <si>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</si>
  <si>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</si>
  <si>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</si>
  <si>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</si>
  <si>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</si>
  <si>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</si>
  <si>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</si>
  <si>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</si>
  <si>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</si>
  <si>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</si>
  <si>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</si>
  <si>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</si>
  <si>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</si>
  <si>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</si>
  <si>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</si>
  <si>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</si>
  <si>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</si>
  <si>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</si>
  <si>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</si>
  <si>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</si>
  <si>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</si>
  <si>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</si>
  <si>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</si>
  <si>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</si>
  <si>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</si>
  <si>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</si>
  <si>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</si>
  <si>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</si>
  <si>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</si>
  <si>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</si>
  <si>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</si>
  <si>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</si>
  <si>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</si>
  <si>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</si>
  <si>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</si>
  <si>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</si>
  <si>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</si>
  <si>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</si>
  <si>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</si>
  <si>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</si>
  <si>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</si>
  <si>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</si>
  <si>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</si>
  <si>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</si>
  <si>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</si>
  <si>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</si>
  <si>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</si>
  <si>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</si>
  <si>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</si>
  <si>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</si>
  <si>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</si>
  <si>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</si>
  <si>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</si>
  <si>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</si>
  <si>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</si>
  <si>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</si>
  <si>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</si>
  <si>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</si>
  <si>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</si>
  <si>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</si>
  <si>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</si>
  <si>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</si>
  <si>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</si>
  <si>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</si>
  <si>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</si>
  <si>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</si>
  <si>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</si>
  <si>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</si>
  <si>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</si>
  <si>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</si>
  <si>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</si>
  <si>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</si>
  <si>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</si>
  <si>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</si>
  <si>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</si>
  <si>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</si>
  <si>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</si>
  <si>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</si>
  <si>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</si>
  <si>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</si>
  <si>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</si>
  <si>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</si>
  <si>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</si>
  <si>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</si>
  <si>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</si>
  <si>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</si>
  <si>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</si>
  <si>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</si>
  <si>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</si>
  <si>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</si>
  <si>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</si>
  <si>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</si>
  <si>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</si>
  <si>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</si>
  <si>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</si>
  <si>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</si>
  <si>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</si>
  <si>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</si>
  <si>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</si>
  <si>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</si>
  <si>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</si>
  <si>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</si>
  <si>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</si>
  <si>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</si>
  <si>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</si>
  <si>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</si>
  <si>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</si>
  <si>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</si>
  <si>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</si>
  <si>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</si>
  <si>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</si>
  <si>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</si>
  <si>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</si>
  <si>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</si>
  <si>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</si>
  <si>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</si>
  <si>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</si>
  <si>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</si>
  <si>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</si>
  <si>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</si>
  <si>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</si>
  <si>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</si>
  <si>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</si>
  <si>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</si>
  <si>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</si>
  <si>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</si>
  <si>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</si>
  <si>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</si>
  <si>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</si>
  <si>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</si>
  <si>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</si>
  <si>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</si>
  <si>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</si>
  <si>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</si>
  <si>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</si>
  <si>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</si>
  <si>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</si>
  <si>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</si>
  <si>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</si>
  <si>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</si>
  <si>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</si>
  <si>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</si>
  <si>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</si>
  <si>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</si>
  <si>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</si>
  <si>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</si>
  <si>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</si>
  <si>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</si>
  <si>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</si>
  <si>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</si>
  <si>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</si>
  <si>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</si>
  <si>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</si>
  <si>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</si>
  <si>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</si>
  <si>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</si>
  <si>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</si>
  <si>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</si>
  <si>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</si>
  <si>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</si>
  <si>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</si>
  <si>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</si>
  <si>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</si>
  <si>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</si>
  <si>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</si>
  <si>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</si>
  <si>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</si>
  <si>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</si>
  <si>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</si>
  <si>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</si>
  <si>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</si>
  <si>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</si>
  <si>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</si>
  <si>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</si>
  <si>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</si>
  <si>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</si>
  <si>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</si>
  <si>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</si>
  <si>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</si>
  <si>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</si>
  <si>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</si>
  <si>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</si>
  <si>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</si>
  <si>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</si>
  <si>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</si>
  <si>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</si>
  <si>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</si>
  <si>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</si>
  <si>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</si>
  <si>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</si>
  <si>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</si>
  <si>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</si>
  <si>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</si>
  <si>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</si>
  <si>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</si>
  <si>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</si>
  <si>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</si>
  <si>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</si>
  <si>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</si>
  <si>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</si>
  <si>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</si>
  <si>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</si>
  <si>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</si>
  <si>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</si>
  <si>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</si>
  <si>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</si>
  <si>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</si>
  <si>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</si>
  <si>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</si>
  <si>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</si>
  <si>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</si>
  <si>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</si>
  <si>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</si>
  <si>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</si>
  <si>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</si>
  <si>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</si>
  <si>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</si>
  <si>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</si>
  <si>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</si>
  <si>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</si>
  <si>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</si>
  <si>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</si>
  <si>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</si>
  <si>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</si>
  <si>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</si>
  <si>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</si>
  <si>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</si>
  <si>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</si>
  <si>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</si>
  <si>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</si>
  <si>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</si>
  <si>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</si>
  <si>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</si>
  <si>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</si>
  <si>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</si>
  <si>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</si>
  <si>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</si>
  <si>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</si>
  <si>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</si>
  <si>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</si>
  <si>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</si>
  <si>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</si>
  <si>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</si>
  <si>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</si>
  <si>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</si>
  <si>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</si>
  <si>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</si>
  <si>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</si>
  <si>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</si>
  <si>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</si>
  <si>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</si>
  <si>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</si>
  <si>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</si>
  <si>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</si>
  <si>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</si>
  <si>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</si>
  <si>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</si>
  <si>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</si>
  <si>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</si>
  <si>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</si>
  <si>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</si>
  <si>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</si>
  <si>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</si>
  <si>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</si>
  <si>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</si>
  <si>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</si>
  <si>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</si>
  <si>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</si>
  <si>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</si>
  <si>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</si>
  <si>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</si>
  <si>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</si>
  <si>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</si>
  <si>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</si>
  <si>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</si>
  <si>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</si>
  <si>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</si>
  <si>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</si>
  <si>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</si>
  <si>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</si>
  <si>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</si>
  <si>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</si>
  <si>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</si>
  <si>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</si>
  <si>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</si>
  <si>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</si>
  <si>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</si>
  <si>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</si>
  <si>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</si>
  <si>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</si>
  <si>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</si>
  <si>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</si>
  <si>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</si>
  <si>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</si>
  <si>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</si>
  <si>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</si>
  <si>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</si>
  <si>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</si>
  <si>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</si>
  <si>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</si>
  <si>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</si>
  <si>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</si>
  <si>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</si>
  <si>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</si>
  <si>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</si>
  <si>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</si>
  <si>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</si>
  <si>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</si>
  <si>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</si>
  <si>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</si>
  <si>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</si>
  <si>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</si>
  <si>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</si>
  <si>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</si>
  <si>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</si>
  <si>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</si>
  <si>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</si>
  <si>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</si>
  <si>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</si>
  <si>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</si>
  <si>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</si>
  <si>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</si>
  <si>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</si>
  <si>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</si>
  <si>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</si>
  <si>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</si>
  <si>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</si>
  <si>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</si>
  <si>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</si>
  <si>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</si>
  <si>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</si>
  <si>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</si>
  <si>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</si>
  <si>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</si>
  <si>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</si>
  <si>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</si>
  <si>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</si>
  <si>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</si>
  <si>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</si>
  <si>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</si>
  <si>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</si>
  <si>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</si>
  <si>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</si>
  <si>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</si>
  <si>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</si>
  <si>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</si>
  <si>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</si>
  <si>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</si>
  <si>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</si>
  <si>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</si>
  <si>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</si>
  <si>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</si>
  <si>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</si>
  <si>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</si>
  <si>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</si>
  <si>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</si>
  <si>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</si>
  <si>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</si>
  <si>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</si>
  <si>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</si>
  <si>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</si>
  <si>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</si>
  <si>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</si>
  <si>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</si>
  <si>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</si>
  <si>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</si>
  <si>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</si>
  <si>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</si>
  <si>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</si>
  <si>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</si>
  <si>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</si>
  <si>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</si>
  <si>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</si>
  <si>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</si>
  <si>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</si>
  <si>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</si>
  <si>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</si>
  <si>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</si>
  <si>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</si>
  <si>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</si>
  <si>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</si>
  <si>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</si>
  <si>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</si>
  <si>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</si>
  <si>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</si>
  <si>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</si>
  <si>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</si>
  <si>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</si>
  <si>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</si>
  <si>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</si>
  <si>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</si>
  <si>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</si>
  <si>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</si>
  <si>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</si>
  <si>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</si>
  <si>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</si>
  <si>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</si>
  <si>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</si>
  <si>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</si>
  <si>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</si>
  <si>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</si>
  <si>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</si>
  <si>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</si>
  <si>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</si>
  <si>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</si>
  <si>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</si>
  <si>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</si>
  <si>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</si>
  <si>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</si>
  <si>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</si>
  <si>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</si>
  <si>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</si>
  <si>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</si>
  <si>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</si>
  <si>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</si>
  <si>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</si>
  <si>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</si>
  <si>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</si>
  <si>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</si>
  <si>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</si>
  <si>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</si>
  <si>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</si>
  <si>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</si>
  <si>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</si>
  <si>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</si>
  <si>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</si>
  <si>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</si>
  <si>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</si>
  <si>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</si>
  <si>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</si>
  <si>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</si>
  <si>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</si>
  <si>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</si>
  <si>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</si>
  <si>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</si>
  <si>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</si>
  <si>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</si>
  <si>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</si>
  <si>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</si>
  <si>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</si>
  <si>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</si>
  <si>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</si>
  <si>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</si>
  <si>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</si>
  <si>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</si>
  <si>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</si>
  <si>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</si>
  <si>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</si>
  <si>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</si>
  <si>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</si>
  <si>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</si>
  <si>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</si>
  <si>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</si>
  <si>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</si>
  <si>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</si>
  <si>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</si>
  <si>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</si>
  <si>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</si>
  <si>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</si>
  <si>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</si>
  <si>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</si>
  <si>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</si>
  <si>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</si>
  <si>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</si>
  <si>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</si>
  <si>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</si>
  <si>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</si>
  <si>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</si>
  <si>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</si>
  <si>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</si>
  <si>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</si>
  <si>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</si>
  <si>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</si>
  <si>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</si>
  <si>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</si>
  <si>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</si>
  <si>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</si>
  <si>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</si>
  <si>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</si>
  <si>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</si>
  <si>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</si>
  <si>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</si>
  <si>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</si>
  <si>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</si>
  <si>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</si>
  <si>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</si>
  <si>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</si>
  <si>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</si>
  <si>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</si>
  <si>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</si>
  <si>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</si>
  <si>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</si>
  <si>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</si>
  <si>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</si>
  <si>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</si>
  <si>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</si>
  <si>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</si>
  <si>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</si>
  <si>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</si>
  <si>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</si>
  <si>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</si>
  <si>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</si>
  <si>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</si>
  <si>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</si>
  <si>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</si>
  <si>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</si>
  <si>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</si>
  <si>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</si>
  <si>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</si>
  <si>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</si>
  <si>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</si>
  <si>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</si>
  <si>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</si>
  <si>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</si>
  <si>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</si>
  <si>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</si>
  <si>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</si>
  <si>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</si>
  <si>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</si>
  <si>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</si>
  <si>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</si>
  <si>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</si>
  <si>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</si>
  <si>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</si>
  <si>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</si>
  <si>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</si>
  <si>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</si>
  <si>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</si>
  <si>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</si>
  <si>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</si>
  <si>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</si>
  <si>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</si>
  <si>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</si>
  <si>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</si>
  <si>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</si>
  <si>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</si>
  <si>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</si>
  <si>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</si>
  <si>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</si>
  <si>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</si>
  <si>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</si>
  <si>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</si>
  <si>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</si>
  <si>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</si>
  <si>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</si>
  <si>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</si>
  <si>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</si>
  <si>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</si>
  <si>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</si>
  <si>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</si>
  <si>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</si>
  <si>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</si>
  <si>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</si>
  <si>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</si>
  <si>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</si>
  <si>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</si>
  <si>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</si>
  <si>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</si>
  <si>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</si>
  <si>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</si>
  <si>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</si>
  <si>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</si>
  <si>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</si>
  <si>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</si>
  <si>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</si>
  <si>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</si>
  <si>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</si>
  <si>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</si>
  <si>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</si>
  <si>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</si>
  <si>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</si>
  <si>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</si>
  <si>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</si>
  <si>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</si>
  <si>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</si>
  <si>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</si>
  <si>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</si>
  <si>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</si>
  <si>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</si>
  <si>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</si>
  <si>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</si>
  <si>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</si>
  <si>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</si>
  <si>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</si>
  <si>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</si>
  <si>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</si>
  <si>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</si>
  <si>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</si>
  <si>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</si>
  <si>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</si>
  <si>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</si>
  <si>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</si>
  <si>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</si>
  <si>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</si>
  <si>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</si>
  <si>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</si>
  <si>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</si>
  <si>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</si>
  <si>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</si>
  <si>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</si>
  <si>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</si>
  <si>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</si>
  <si>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</si>
  <si>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</si>
  <si>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</si>
  <si>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</si>
  <si>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</si>
  <si>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</si>
  <si>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</si>
  <si>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</si>
  <si>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</si>
  <si>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</si>
  <si>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</si>
  <si>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</si>
  <si>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</si>
  <si>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</si>
  <si>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</si>
  <si>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</si>
  <si>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</si>
  <si>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</si>
  <si>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</si>
  <si>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</si>
  <si>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</si>
  <si>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</si>
  <si>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</si>
  <si>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</si>
  <si>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</si>
  <si>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</si>
  <si>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</si>
  <si>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</si>
  <si>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</si>
  <si>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</si>
  <si>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</si>
  <si>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</si>
  <si>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</si>
  <si>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</si>
  <si>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</si>
  <si>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</si>
  <si>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</si>
  <si>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</si>
  <si>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</si>
  <si>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</si>
  <si>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</si>
  <si>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</si>
  <si>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</si>
  <si>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</si>
  <si>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</si>
  <si>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</si>
  <si>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</si>
  <si>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</si>
  <si>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</si>
  <si>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</si>
  <si>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</si>
  <si>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</si>
  <si>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</si>
  <si>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</si>
  <si>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</si>
  <si>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</si>
  <si>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</si>
  <si>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</si>
  <si>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</si>
  <si>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</si>
  <si>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</si>
  <si>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</si>
  <si>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</si>
  <si>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</si>
  <si>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</si>
  <si>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</si>
  <si>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</si>
  <si>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</si>
  <si>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</si>
  <si>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</si>
  <si>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</si>
  <si>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</si>
  <si>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</si>
  <si>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</si>
  <si>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</si>
  <si>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</si>
  <si>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</si>
  <si>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</si>
  <si>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</si>
  <si>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</si>
  <si>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</si>
  <si>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</si>
  <si>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</si>
  <si>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</si>
  <si>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</si>
  <si>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</si>
  <si>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</si>
  <si>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</si>
  <si>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</si>
  <si>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</si>
  <si>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</si>
  <si>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</si>
  <si>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</si>
  <si>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</si>
  <si>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</si>
  <si>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</si>
  <si>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</si>
  <si>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</si>
  <si>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</si>
  <si>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</si>
  <si>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</si>
  <si>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</si>
  <si>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</si>
  <si>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</si>
  <si>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</si>
  <si>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</si>
  <si>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</si>
  <si>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</si>
  <si>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</si>
  <si>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</si>
  <si>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</si>
  <si>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</si>
  <si>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</si>
  <si>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</si>
  <si>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</si>
  <si>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</si>
  <si>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</si>
  <si>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</si>
  <si>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</si>
  <si>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</si>
  <si>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</si>
  <si>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</si>
  <si>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</si>
  <si>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</si>
  <si>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</si>
  <si>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</si>
  <si>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</si>
  <si>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</si>
  <si>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</si>
  <si>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</si>
  <si>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</si>
  <si>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</si>
  <si>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</si>
  <si>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</si>
  <si>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</si>
  <si>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</si>
  <si>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</si>
  <si>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</si>
  <si>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</si>
  <si>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</si>
  <si>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</si>
  <si>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</si>
  <si>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</si>
  <si>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</si>
  <si>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</si>
  <si>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</si>
  <si>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</si>
  <si>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</si>
  <si>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</si>
  <si>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</si>
  <si>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</si>
  <si>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</si>
  <si>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</si>
  <si>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</si>
  <si>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</si>
  <si>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</si>
  <si>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</si>
  <si>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</si>
  <si>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</si>
  <si>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</si>
  <si>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</si>
  <si>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</si>
  <si>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</si>
  <si>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</si>
  <si>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</si>
  <si>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</si>
  <si>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</si>
  <si>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</si>
  <si>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</si>
  <si>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</si>
  <si>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</si>
  <si>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</si>
  <si>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</si>
  <si>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</si>
  <si>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</si>
  <si>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</si>
  <si>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</si>
  <si>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</si>
  <si>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</si>
  <si>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</si>
  <si>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</si>
  <si>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</si>
  <si>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</si>
  <si>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</si>
  <si>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</si>
  <si>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</si>
  <si>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</si>
  <si>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</si>
  <si>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</si>
  <si>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</si>
  <si>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</si>
  <si>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</si>
  <si>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</si>
  <si>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</si>
  <si>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</si>
  <si>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</si>
  <si>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</si>
  <si>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</si>
  <si>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</si>
  <si>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</si>
  <si>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</si>
  <si>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</si>
  <si>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</si>
  <si>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</si>
  <si>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</si>
  <si>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</si>
  <si>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</si>
  <si>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</si>
  <si>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</si>
  <si>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</si>
  <si>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</si>
  <si>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</si>
  <si>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</si>
  <si>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</si>
  <si>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</si>
  <si>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</si>
  <si>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</si>
  <si>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</si>
  <si>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</si>
  <si>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</si>
  <si>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</si>
  <si>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</si>
  <si>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</si>
  <si>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</si>
  <si>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</si>
  <si>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</si>
  <si>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</si>
  <si>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</si>
  <si>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</si>
  <si>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</si>
  <si>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</si>
  <si>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</si>
  <si>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</si>
  <si>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</si>
  <si>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</si>
  <si>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</si>
  <si>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</si>
  <si>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</si>
  <si>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</si>
  <si>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</si>
  <si>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</si>
  <si>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</si>
  <si>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</si>
  <si>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</si>
  <si>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</si>
  <si>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</si>
  <si>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</si>
  <si>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</si>
  <si>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</si>
  <si>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</si>
  <si>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</si>
  <si>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</si>
  <si>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</si>
  <si>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</si>
  <si>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</si>
  <si>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</si>
  <si>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</si>
  <si>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</si>
  <si>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</si>
  <si>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</si>
  <si>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</si>
  <si>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</si>
  <si>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</si>
  <si>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</si>
  <si>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</si>
  <si>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</si>
  <si>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</si>
  <si>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</si>
  <si>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</si>
  <si>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</si>
  <si>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</si>
  <si>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</si>
  <si>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</si>
  <si>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</si>
  <si>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</si>
  <si>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</si>
  <si>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</si>
  <si>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</si>
  <si>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</si>
  <si>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</si>
  <si>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</si>
  <si>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</si>
  <si>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</si>
  <si>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</si>
  <si>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</si>
  <si>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</si>
  <si>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</si>
  <si>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</si>
  <si>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</si>
  <si>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</si>
  <si>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</si>
  <si>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</si>
  <si>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</si>
  <si>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</si>
  <si>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</si>
  <si>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</si>
  <si>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</si>
  <si>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</si>
  <si>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</si>
  <si>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</si>
  <si>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</si>
  <si>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</si>
  <si>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</si>
  <si>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</si>
  <si>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</si>
  <si>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</si>
  <si>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</si>
  <si>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</si>
  <si>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</si>
  <si>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</si>
  <si>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</si>
  <si>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</si>
  <si>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</si>
  <si>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</si>
  <si>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</si>
  <si>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</si>
  <si>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</si>
  <si>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</si>
  <si>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</si>
  <si>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</si>
  <si>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</si>
  <si>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</si>
  <si>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</si>
  <si>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</si>
  <si>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</si>
  <si>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</si>
  <si>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</si>
  <si>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</si>
  <si>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</si>
  <si>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</si>
  <si>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</si>
  <si>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</si>
  <si>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</si>
  <si>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</si>
  <si>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</si>
  <si>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</si>
  <si>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</si>
  <si>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</si>
  <si>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</si>
  <si>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</si>
  <si>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</si>
  <si>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</si>
  <si>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</si>
  <si>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</si>
  <si>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</si>
  <si>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</si>
  <si>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</si>
  <si>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</si>
  <si>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</si>
  <si>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</si>
  <si>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</si>
  <si>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</si>
  <si>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</si>
  <si>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</si>
  <si>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</si>
  <si>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</si>
  <si>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</si>
  <si>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</si>
  <si>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</si>
  <si>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</si>
  <si>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</si>
  <si>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</si>
  <si>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</si>
  <si>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</si>
  <si>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</si>
  <si>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</si>
  <si>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</si>
  <si>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</si>
  <si>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</si>
  <si>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</si>
  <si>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</si>
  <si>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</si>
  <si>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</si>
  <si>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</si>
  <si>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</si>
  <si>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</si>
  <si>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</si>
  <si>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</si>
  <si>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</si>
  <si>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</si>
  <si>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</si>
  <si>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</si>
  <si>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</si>
  <si>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</si>
  <si>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</si>
  <si>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</si>
  <si>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</si>
  <si>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</si>
  <si>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</si>
  <si>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</si>
  <si>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</si>
  <si>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</si>
  <si>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</si>
  <si>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</si>
  <si>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</si>
  <si>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</si>
  <si>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</si>
  <si>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</si>
  <si>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</si>
  <si>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</si>
  <si>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</si>
  <si>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</si>
  <si>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</si>
  <si>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</si>
  <si>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</si>
  <si>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</si>
  <si>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</si>
  <si>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</si>
  <si>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</si>
  <si>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</si>
  <si>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</si>
  <si>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</si>
  <si>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</si>
  <si>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</si>
  <si>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</si>
  <si>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</si>
  <si>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</si>
  <si>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</si>
  <si>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</si>
  <si>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</si>
  <si>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</si>
  <si>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</si>
  <si>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</si>
  <si>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</si>
  <si>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</si>
  <si>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</si>
  <si>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</si>
  <si>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</si>
  <si>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</si>
  <si>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</si>
  <si>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</si>
  <si>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</si>
  <si>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</si>
  <si>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</si>
  <si>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</si>
  <si>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</si>
  <si>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</si>
  <si>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</si>
  <si>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</si>
  <si>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</si>
  <si>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</si>
  <si>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</si>
  <si>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</si>
  <si>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</si>
  <si>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</si>
  <si>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</si>
  <si>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</si>
  <si>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</si>
  <si>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</si>
  <si>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</si>
  <si>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</si>
  <si>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</si>
  <si>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</si>
  <si>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</si>
  <si>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</si>
  <si>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</si>
  <si>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</si>
  <si>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</si>
  <si>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</si>
  <si>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</si>
  <si>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</si>
  <si>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</si>
  <si>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</si>
  <si>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</si>
  <si>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</si>
  <si>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</si>
  <si>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</si>
  <si>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</si>
  <si>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</si>
  <si>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</si>
  <si>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</si>
  <si>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</si>
  <si>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</si>
  <si>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</si>
  <si>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</si>
  <si>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</si>
  <si>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</si>
  <si>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</si>
  <si>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</si>
  <si>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</si>
  <si>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</si>
  <si>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</si>
  <si>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</si>
  <si>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</si>
  <si>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</si>
  <si>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</si>
  <si>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</si>
  <si>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</si>
  <si>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</si>
  <si>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</si>
  <si>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</si>
  <si>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</si>
  <si>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</si>
  <si>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</si>
  <si>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</si>
  <si>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</si>
  <si>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</si>
  <si>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</si>
  <si>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</si>
  <si>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</si>
  <si>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</si>
  <si>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</si>
  <si>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</si>
  <si>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</si>
  <si>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</si>
  <si>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</si>
  <si>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</si>
  <si>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</si>
  <si>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</si>
  <si>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</si>
  <si>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</si>
  <si>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</si>
  <si>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</si>
  <si>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</si>
  <si>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</si>
  <si>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</si>
  <si>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</si>
  <si>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</si>
  <si>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</si>
  <si>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</si>
  <si>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</si>
  <si>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</si>
  <si>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</si>
  <si>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</si>
  <si>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</si>
  <si>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</si>
  <si>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</si>
  <si>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</si>
  <si>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</si>
  <si>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</si>
  <si>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</si>
  <si>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</si>
  <si>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</si>
  <si>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</si>
  <si>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</si>
  <si>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</si>
  <si>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</si>
  <si>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</si>
  <si>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</si>
  <si>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</si>
  <si>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</si>
  <si>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</si>
  <si>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</si>
  <si>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</si>
  <si>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</si>
  <si>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</si>
  <si>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</si>
  <si>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</si>
  <si>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</si>
  <si>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</si>
  <si>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</si>
  <si>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</si>
  <si>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</si>
  <si>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</si>
  <si>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</si>
  <si>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</si>
  <si>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</si>
  <si>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</si>
  <si>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</si>
  <si>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</si>
  <si>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</si>
  <si>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</si>
  <si>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</si>
  <si>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</si>
  <si>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</si>
  <si>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</si>
  <si>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</si>
  <si>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</si>
  <si>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</si>
  <si>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</si>
  <si>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</si>
  <si>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</si>
  <si>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</si>
  <si>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</si>
  <si>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</si>
  <si>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</si>
  <si>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</si>
  <si>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</si>
  <si>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</si>
  <si>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</si>
  <si>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</si>
  <si>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</si>
  <si>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</si>
  <si>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</si>
  <si>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</si>
  <si>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</si>
  <si>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</si>
  <si>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</si>
  <si>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</si>
  <si>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</si>
  <si>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</si>
  <si>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</si>
  <si>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</si>
  <si>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</si>
  <si>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</si>
  <si>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</si>
  <si>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</si>
  <si>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</si>
  <si>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</si>
  <si>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</si>
  <si>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</si>
  <si>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</si>
  <si>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</si>
  <si>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</si>
  <si>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</si>
  <si>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</si>
  <si>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</si>
  <si>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</si>
  <si>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</si>
  <si>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</si>
  <si>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</si>
  <si>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</si>
  <si>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</si>
  <si>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</si>
  <si>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</si>
  <si>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</si>
  <si>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</si>
  <si>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</si>
  <si>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</si>
  <si>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</si>
  <si>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</si>
  <si>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</si>
  <si>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</si>
  <si>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</si>
  <si>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</si>
  <si>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</si>
  <si>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</si>
  <si>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</si>
  <si>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</si>
  <si>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</si>
  <si>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</si>
  <si>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</si>
  <si>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</si>
  <si>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</si>
  <si>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</si>
  <si>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</si>
  <si>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</si>
  <si>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</si>
  <si>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</si>
  <si>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</si>
  <si>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</si>
  <si>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</si>
  <si>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</si>
  <si>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</si>
  <si>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</si>
  <si>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</si>
  <si>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</si>
  <si>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</si>
  <si>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</si>
  <si>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</si>
  <si>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</si>
  <si>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</si>
  <si>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</si>
  <si>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</si>
  <si>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</si>
  <si>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</si>
  <si>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</si>
  <si>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</si>
  <si>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</si>
  <si>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</si>
  <si>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</si>
  <si>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</si>
  <si>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</si>
  <si>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</si>
  <si>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</si>
  <si>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</si>
  <si>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</si>
  <si>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</si>
  <si>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</si>
  <si>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</si>
  <si>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</si>
  <si>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</si>
  <si>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</si>
  <si>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</si>
  <si>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</si>
  <si>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</si>
  <si>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</si>
  <si>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</si>
  <si>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</si>
  <si>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</si>
  <si>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</si>
  <si>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</si>
  <si>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</si>
  <si>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</si>
  <si>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</si>
  <si>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</si>
  <si>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</si>
  <si>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</si>
  <si>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</si>
  <si>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</si>
  <si>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</si>
  <si>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</si>
  <si>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</si>
  <si>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</si>
  <si>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</si>
  <si>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</si>
  <si>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</si>
  <si>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</si>
  <si>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</si>
  <si>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</si>
  <si>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</si>
  <si>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</si>
  <si>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</si>
  <si>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</si>
  <si>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</si>
  <si>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</si>
  <si>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</si>
  <si>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</si>
  <si>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</si>
  <si>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</si>
  <si>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</si>
  <si>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</si>
  <si>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</si>
  <si>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</si>
  <si>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</si>
  <si>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</si>
  <si>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</si>
  <si>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</si>
  <si>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</si>
  <si>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</si>
  <si>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</si>
  <si>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</si>
  <si>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</si>
  <si>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</si>
  <si>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</si>
  <si>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</si>
  <si>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</si>
  <si>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</si>
  <si>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</si>
  <si>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</si>
  <si>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</si>
  <si>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</si>
  <si>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</si>
  <si>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</si>
  <si>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</si>
  <si>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</si>
  <si>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</si>
  <si>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</si>
  <si>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</si>
  <si>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</si>
  <si>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</si>
  <si>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</si>
  <si>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</si>
  <si>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</si>
  <si>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</si>
  <si>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</si>
  <si>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</si>
  <si>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</si>
  <si>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</si>
  <si>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</si>
  <si>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</si>
  <si>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</si>
  <si>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</si>
  <si>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</si>
  <si>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</si>
  <si>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</si>
  <si>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</si>
  <si>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</si>
  <si>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</si>
  <si>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</si>
  <si>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</si>
  <si>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</si>
  <si>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</si>
  <si>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</si>
  <si>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</si>
  <si>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</si>
  <si>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</si>
  <si>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</si>
  <si>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</si>
  <si>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</si>
  <si>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</si>
  <si>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</si>
  <si>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</si>
  <si>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</si>
  <si>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</si>
  <si>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</si>
  <si>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</si>
  <si>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</si>
  <si>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</si>
  <si>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</si>
  <si>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</si>
  <si>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</si>
  <si>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</si>
  <si>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</si>
  <si>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</si>
  <si>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</si>
  <si>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</si>
  <si>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</si>
  <si>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</si>
  <si>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</si>
  <si>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</si>
  <si>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</si>
  <si>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</si>
  <si>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</si>
  <si>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</si>
  <si>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</si>
  <si>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</si>
  <si>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</si>
  <si>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</si>
  <si>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</si>
  <si>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</si>
  <si>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</si>
  <si>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</si>
  <si>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</si>
  <si>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</si>
  <si>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</si>
  <si>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</si>
  <si>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</si>
  <si>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</si>
  <si>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</si>
  <si>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</si>
  <si>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</si>
  <si>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</si>
  <si>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</si>
  <si>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</si>
  <si>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</si>
  <si>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</si>
  <si>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</si>
  <si>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</si>
  <si>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</si>
  <si>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</si>
  <si>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</si>
  <si>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</si>
  <si>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</si>
  <si>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</si>
  <si>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</si>
  <si>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</si>
  <si>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</si>
  <si>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</si>
  <si>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</si>
  <si>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</si>
  <si>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</si>
  <si>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</si>
  <si>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</si>
  <si>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</si>
  <si>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</si>
  <si>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</si>
  <si>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</si>
  <si>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</si>
  <si>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</si>
  <si>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</si>
  <si>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</si>
  <si>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</si>
  <si>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</si>
  <si>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</si>
  <si>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</si>
  <si>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</si>
  <si>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</si>
  <si>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</si>
  <si>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</si>
  <si>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</si>
  <si>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</si>
  <si>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</si>
  <si>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</si>
  <si>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</si>
  <si>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</si>
  <si>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</si>
  <si>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</si>
  <si>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</si>
  <si>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</si>
  <si>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</si>
  <si>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</si>
  <si>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</si>
  <si>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</si>
  <si>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</si>
  <si>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</si>
  <si>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</si>
  <si>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</si>
  <si>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</si>
  <si>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</si>
  <si>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</si>
  <si>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</si>
  <si>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</si>
  <si>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</si>
  <si>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</si>
  <si>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</si>
  <si>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</si>
  <si>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</si>
  <si>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</si>
  <si>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</si>
  <si>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</si>
  <si>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</si>
  <si>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</si>
  <si>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</si>
  <si>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</si>
  <si>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</si>
  <si>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</si>
  <si>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</si>
  <si>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</si>
  <si>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</si>
  <si>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</si>
  <si>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</si>
  <si>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</si>
  <si>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</si>
  <si>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</si>
  <si>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</si>
  <si>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</si>
  <si>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</si>
  <si>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</si>
  <si>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</si>
  <si>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</si>
  <si>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</si>
  <si>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</si>
  <si>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</si>
  <si>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</si>
  <si>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</si>
  <si>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</si>
  <si>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</si>
  <si>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</si>
  <si>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</si>
  <si>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</si>
  <si>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</si>
  <si>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</si>
  <si>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</si>
  <si>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</si>
  <si>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</si>
  <si>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</si>
  <si>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</si>
  <si>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</si>
  <si>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</si>
  <si>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</si>
  <si>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</si>
  <si>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</si>
  <si>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</si>
  <si>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</si>
  <si>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</si>
  <si>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</si>
  <si>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</si>
  <si>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</si>
  <si>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</si>
  <si>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</si>
  <si>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</si>
  <si>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</si>
  <si>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</si>
  <si>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</si>
  <si>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</si>
  <si>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</si>
  <si>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</si>
  <si>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</si>
  <si>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</si>
  <si>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</si>
  <si>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</si>
  <si>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</si>
  <si>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</si>
  <si>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</si>
  <si>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</si>
  <si>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</si>
  <si>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</si>
  <si>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</si>
  <si>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</si>
  <si>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</si>
  <si>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</si>
  <si>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</si>
  <si>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</si>
  <si>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</si>
  <si>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</si>
  <si>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</si>
  <si>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</si>
  <si>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</si>
  <si>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</si>
  <si>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</si>
  <si>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</si>
  <si>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</si>
  <si>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</si>
  <si>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</si>
  <si>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</si>
  <si>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</si>
  <si>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</si>
  <si>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</si>
  <si>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</si>
  <si>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</si>
  <si>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</si>
  <si>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</si>
  <si>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</si>
  <si>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</si>
  <si>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</si>
  <si>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</si>
  <si>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</si>
  <si>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</si>
  <si>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</si>
  <si>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</si>
  <si>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</si>
  <si>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</si>
  <si>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</si>
  <si>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</si>
  <si>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</si>
  <si>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</si>
  <si>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</si>
  <si>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</si>
  <si>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</si>
  <si>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</si>
  <si>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</si>
  <si>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</si>
  <si>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</si>
  <si>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</si>
  <si>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</si>
  <si>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</si>
  <si>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</si>
  <si>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</si>
  <si>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</si>
  <si>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</si>
  <si>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HUGUES TUPHILE</t>
  </si>
  <si>
    <t xml:space="preserve">VAR</t>
  </si>
  <si>
    <t xml:space="preserve">VAR A TOUET-SUR-VAR 1</t>
  </si>
  <si>
    <t xml:space="preserve">06710020</t>
  </si>
  <si>
    <t xml:space="preserve">(Date)</t>
  </si>
  <si>
    <t xml:space="preserve">Résultats</t>
  </si>
  <si>
    <t xml:space="preserve">Robustesse:</t>
  </si>
  <si>
    <t xml:space="preserve">Unité(s) de relevé</t>
  </si>
  <si>
    <t xml:space="preserve">UR1</t>
  </si>
  <si>
    <t xml:space="preserve">UR2</t>
  </si>
  <si>
    <t xml:space="preserve">Faciès dominant</t>
  </si>
  <si>
    <t xml:space="preserve">rapide</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</si>
  <si>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</si>
  <si>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</si>
  <si>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</si>
  <si>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</si>
  <si>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</si>
  <si>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</si>
  <si>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</si>
  <si>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</si>
  <si>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</si>
  <si>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</si>
  <si>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</si>
  <si>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</si>
  <si>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</si>
  <si>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</si>
  <si>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</si>
  <si>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</si>
  <si>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</si>
  <si>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</si>
  <si>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</si>
  <si>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</si>
  <si>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</si>
  <si>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</si>
  <si>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</si>
  <si>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</si>
  <si>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</si>
  <si>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</si>
  <si>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</si>
  <si>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</si>
  <si>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</si>
  <si>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</si>
  <si>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</si>
  <si>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</si>
  <si>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</si>
  <si>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</si>
  <si>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</si>
  <si>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</si>
  <si>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</si>
  <si>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</si>
  <si>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</si>
  <si>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</si>
  <si>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</si>
  <si>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</si>
  <si>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</si>
  <si>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</si>
  <si>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</si>
  <si>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</si>
  <si>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</si>
  <si>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</si>
  <si>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</si>
  <si>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</si>
  <si>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</si>
  <si>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</si>
  <si>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</si>
  <si>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</si>
  <si>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</si>
  <si>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</si>
  <si>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</si>
  <si>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</si>
  <si>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</si>
  <si>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</si>
  <si>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</si>
  <si>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</si>
  <si>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</si>
  <si>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</si>
  <si>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</si>
  <si>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</si>
  <si>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</si>
  <si>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</si>
  <si>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</si>
  <si>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</si>
  <si>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</si>
  <si>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</si>
  <si>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</si>
  <si>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</si>
  <si>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</si>
  <si>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</si>
  <si>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</si>
  <si>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</si>
  <si>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</si>
  <si>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</si>
  <si>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</si>
  <si>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</si>
  <si>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</si>
  <si>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</si>
  <si>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</si>
  <si>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</si>
  <si>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</si>
  <si>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</si>
  <si>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</si>
  <si>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cascade</t>
  </si>
  <si>
    <t xml:space="preserve">ch. lentique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</si>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</sst>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n">
        <v>42563</v>
      </c>
      <c r="C4" s="306"/>
      <c r="D4" s="307"/>
      <c r="E4" s="307"/>
      <c r="F4" s="306"/>
      <c r="G4" s="308"/>
      <c r="H4" s="307"/>
      <c r="I4" s="281"/>
      <c r="J4" s="309" t="s">
        <v>3382</v>
      </c>
      <c r="K4" s="310"/>
      <c r="L4" s="310"/>
      <c r="M4" s="311"/>
      <c r="N4" s="311"/>
      <c r="O4" s="312" t="s">
        <v>3383</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10.4615384615385</v>
      </c>
      <c r="N5" s="324"/>
      <c r="O5" s="325" t="s">
        <v>309</v>
      </c>
      <c r="P5" s="326" t="n">
        <v>9.33333333333333</v>
      </c>
      <c r="Q5" s="327"/>
      <c r="R5" s="281"/>
      <c r="S5" s="281"/>
      <c r="T5" s="281"/>
      <c r="U5" s="281"/>
      <c r="V5" s="281"/>
      <c r="W5" s="295"/>
      <c r="X5" s="0"/>
      <c r="Y5" s="0"/>
      <c r="Z5" s="0"/>
    </row>
    <row r="6" customFormat="false" ht="13.5" hidden="false" customHeight="false" outlineLevel="0" collapsed="false">
      <c r="A6" s="314" t="s">
        <v>3387</v>
      </c>
      <c r="B6" s="328" t="s">
        <v>3388</v>
      </c>
      <c r="C6" s="329"/>
      <c r="D6" s="330"/>
      <c r="E6" s="330"/>
      <c r="F6" s="331"/>
      <c r="G6" s="319"/>
      <c r="H6" s="317"/>
      <c r="I6" s="281"/>
      <c r="J6" s="332"/>
      <c r="K6" s="333"/>
      <c r="L6" s="334" t="s">
        <v>3389</v>
      </c>
      <c r="M6" s="335" t="s">
        <v>3390</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10.3333333333333</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3398</v>
      </c>
      <c r="B9" s="358" t="n">
        <v>6</v>
      </c>
      <c r="C9" s="359"/>
      <c r="D9" s="360"/>
      <c r="E9" s="360"/>
      <c r="F9" s="361" t="n">
        <f aca="false">($B9*$B$7+$C9*$C$7)/100</f>
        <v>6</v>
      </c>
      <c r="G9" s="362"/>
      <c r="H9" s="317"/>
      <c r="I9" s="281"/>
      <c r="J9" s="363"/>
      <c r="K9" s="364"/>
      <c r="L9" s="347"/>
      <c r="M9" s="365"/>
      <c r="N9" s="355" t="s">
        <v>3399</v>
      </c>
      <c r="O9" s="356" t="n">
        <f aca="false">IF(ISERROR(STDEVP(J23:J82))," ",STDEVP(J23:J82))</f>
        <v>2.35702260395516</v>
      </c>
      <c r="P9" s="356" t="n">
        <f aca="false">IF(ISERROR(STDEVP(K23:K82)),"  ",STDEVP(K23:K82))</f>
        <v>0.5</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5</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6</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6</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v>
      </c>
      <c r="M15" s="381"/>
      <c r="N15" s="389" t="s">
        <v>3417</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1</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5.92</v>
      </c>
      <c r="C20" s="433" t="n">
        <f aca="false">SUM(C23:C82)</f>
        <v>0</v>
      </c>
      <c r="D20" s="434"/>
      <c r="E20" s="435" t="s">
        <v>3424</v>
      </c>
      <c r="F20" s="436" t="n">
        <f aca="false">($B20*$B$7+$C20*$C$7)/100</f>
        <v>5.92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5.92</v>
      </c>
      <c r="C21" s="444" t="n">
        <f aca="false">C20*C7/100</f>
        <v>0</v>
      </c>
      <c r="D21" s="445" t="s">
        <v>3427</v>
      </c>
      <c r="E21" s="446"/>
      <c r="F21" s="447" t="n">
        <f aca="false">B21+C21</f>
        <v>5.92</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58</v>
      </c>
      <c r="B24" s="490" t="n">
        <v>0.005</v>
      </c>
      <c r="C24" s="491"/>
      <c r="D24" s="492" t="str">
        <f aca="false">IF(ISERROR(VLOOKUP($A24,'liste reference'!$A$6:$B$1174,2,0)),IF(ISERROR(VLOOKUP($A24,'liste reference'!$B$6:$B$1174,1,0)),"",VLOOKUP($A24,'liste reference'!$B$6:$B$1174,1,0)),VLOOKUP($A24,'liste reference'!$A$6:$B$1174,2,0))</f>
        <v>Bangia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10</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Bangia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1153</v>
      </c>
      <c r="R24" s="484" t="n">
        <f aca="false">IF(ISTEXT(H24),"",(B24*$B$7/100)+(C24*$C$7/100))</f>
        <v>0.005</v>
      </c>
      <c r="S24" s="485" t="n">
        <f aca="false">IF(OR(ISTEXT(H24),R24=0),"",IF(R24&lt;0.1,1,IF(R24&lt;1,2,IF(R24&lt;10,3,IF(R24&lt;50,4,IF(R24&gt;=50,5,""))))))</f>
        <v>1</v>
      </c>
      <c r="T24" s="485" t="n">
        <f aca="false">IF(ISERROR(S24*J24),0,S24*J24)</f>
        <v>10</v>
      </c>
      <c r="U24" s="485" t="n">
        <f aca="false">IF(ISERROR(S24*J24*K24),0,S24*J24*K24)</f>
        <v>20</v>
      </c>
      <c r="V24" s="501" t="n">
        <f aca="false">IF(ISERROR(S24*K24),0,S24*K24)</f>
        <v>2</v>
      </c>
      <c r="W24" s="502"/>
      <c r="X24" s="503"/>
      <c r="Y24" s="488" t="str">
        <f aca="false">IF(AND(ISNUMBER(F24),OR(A24="",A24="!!!!!!")),"!!!!!!",IF(A24="new.cod","NEWCOD",IF(AND((Z24=""),ISTEXT(A24),A24&lt;&gt;"!!!!!!"),A24,IF(Z24="","",INDEX('liste reference'!$A$6:$A$1174,Z24)))))</f>
        <v>BANSPX</v>
      </c>
      <c r="Z24" s="470" t="n">
        <f aca="false">IF(ISERROR(MATCH(A24,'liste reference'!$A$6:$A$1174,0)),IF(ISERROR(MATCH(A24,'liste reference'!$B$6:$B$1174,0)),"",(MATCH(A24,'liste reference'!$B$6:$B$1174,0))),(MATCH(A24,'liste reference'!$A$6:$A$1174,0)))</f>
        <v>9</v>
      </c>
    </row>
    <row r="25" customFormat="false" ht="12.75" hidden="false" customHeight="false" outlineLevel="0" collapsed="false">
      <c r="A25" s="489" t="s">
        <v>134</v>
      </c>
      <c r="B25" s="490" t="n">
        <v>5.5</v>
      </c>
      <c r="C25" s="491"/>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5.5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5.5</v>
      </c>
      <c r="S25" s="485" t="n">
        <f aca="false">IF(OR(ISTEXT(H25),R25=0),"",IF(R25&lt;0.1,1,IF(R25&lt;1,2,IF(R25&lt;10,3,IF(R25&lt;50,4,IF(R25&gt;=50,5,""))))))</f>
        <v>3</v>
      </c>
      <c r="T25" s="485" t="n">
        <f aca="false">IF(ISERROR(S25*J25),0,S25*J25)</f>
        <v>18</v>
      </c>
      <c r="U25" s="485" t="n">
        <f aca="false">IF(ISERROR(S25*J25*K25),0,S25*J25*K25)</f>
        <v>18</v>
      </c>
      <c r="V25" s="501" t="n">
        <f aca="false">IF(ISERROR(S25*K25),0,S25*K25)</f>
        <v>3</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309</v>
      </c>
      <c r="B26" s="490" t="n">
        <v>0.4</v>
      </c>
      <c r="C26" s="491"/>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0.4</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0.4</v>
      </c>
      <c r="S26" s="485" t="n">
        <f aca="false">IF(OR(ISTEXT(H26),R26=0),"",IF(R26&lt;0.1,1,IF(R26&lt;1,2,IF(R26&lt;10,3,IF(R26&lt;50,4,IF(R26&gt;=50,5,""))))))</f>
        <v>2</v>
      </c>
      <c r="T26" s="485" t="n">
        <f aca="false">IF(ISERROR(S26*J26),0,S26*J26)</f>
        <v>26</v>
      </c>
      <c r="U26" s="485" t="n">
        <f aca="false">IF(ISERROR(S26*J26*K26),0,S26*J26*K26)</f>
        <v>52</v>
      </c>
      <c r="V26" s="501" t="n">
        <f aca="false">IF(ISERROR(S26*K26),0,S26*K26)</f>
        <v>4</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343</v>
      </c>
      <c r="B27" s="490" t="n">
        <v>0.005</v>
      </c>
      <c r="C27" s="491"/>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0.005</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1932</v>
      </c>
      <c r="B28" s="490" t="n">
        <v>0.005</v>
      </c>
      <c r="C28" s="491"/>
      <c r="D28" s="492" t="str">
        <f aca="false">IF(ISERROR(VLOOKUP($A28,'liste reference'!$A$6:$B$1174,2,0)),IF(ISERROR(VLOOKUP($A28,'liste reference'!$B$6:$B$1174,1,0)),"",VLOOKUP($A28,'liste reference'!$B$6:$B$1174,1,0)),VLOOKUP($A28,'liste reference'!$A$6:$B$1174,2,0))</f>
        <v>Agrostis stolonifera</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PHe</v>
      </c>
      <c r="H28" s="496" t="n">
        <f aca="false">IF(A28="","x",IF(ISERROR(VLOOKUP($A28,'liste reference'!$A$6:$Q$1174,10,0)),IF(ISERROR(VLOOKUP($A28,'liste reference'!$B$6:$Q$1174,9,0)),"x",VLOOKUP($A28,'liste reference'!$B$6:$Q$1174,9,0)),VLOOKUP($A28,'liste reference'!$A$6:$Q$1174,10,0)))</f>
        <v>8</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Agrostis stolonifera</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1543</v>
      </c>
      <c r="R28" s="484" t="n">
        <f aca="false">IF(ISTEXT(H28),"",(B28*$B$7/100)+(C28*$C$7/100))</f>
        <v>0.005</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AGRSTO</v>
      </c>
      <c r="Z28" s="470" t="n">
        <f aca="false">IF(ISERROR(MATCH(A28,'liste reference'!$A$6:$A$1174,0)),IF(ISERROR(MATCH(A28,'liste reference'!$B$6:$B$1174,0)),"",(MATCH(A28,'liste reference'!$B$6:$B$1174,0))),(MATCH(A28,'liste reference'!$A$6:$A$1174,0)))</f>
        <v>623</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5.92</v>
      </c>
      <c r="G83" s="424"/>
      <c r="H83" s="424"/>
      <c r="I83" s="424"/>
      <c r="J83" s="424"/>
      <c r="K83" s="424"/>
      <c r="L83" s="424"/>
      <c r="M83" s="485"/>
      <c r="N83" s="485"/>
      <c r="O83" s="485"/>
      <c r="P83" s="485"/>
      <c r="Q83" s="485"/>
      <c r="R83" s="485"/>
      <c r="S83" s="485"/>
      <c r="T83" s="485"/>
      <c r="U83" s="485"/>
      <c r="V83" s="485" t="n">
        <f aca="false">SUM(V23:V82)</f>
        <v>13</v>
      </c>
      <c r="W83" s="485"/>
      <c r="X83" s="523"/>
      <c r="Y83" s="523"/>
      <c r="Z83" s="524"/>
    </row>
    <row r="84" customFormat="false" ht="12.75" hidden="true" customHeight="false" outlineLevel="0" collapsed="false">
      <c r="A84" s="518" t="str">
        <f aca="false">A3</f>
        <v>VAR</v>
      </c>
      <c r="B84" s="453" t="str">
        <f aca="false">C3</f>
        <v>VAR A TOUET-SUR-VAR 1</v>
      </c>
      <c r="C84" s="525" t="str">
        <f aca="false">A4</f>
        <v>(Date)</v>
      </c>
      <c r="D84" s="526" t="n">
        <f aca="false">IF(OR(ISERROR(SUM($U$23:$U$82)/SUM($V$23:$V$82)),F7&lt;&gt;100),-1,SUM($U$23:$U$82)/SUM($V$23:$V$82))</f>
        <v>10.4615384615385</v>
      </c>
      <c r="E84" s="527" t="n">
        <f aca="false">O13</f>
        <v>6</v>
      </c>
      <c r="F84" s="453" t="n">
        <f aca="false">O14</f>
        <v>6</v>
      </c>
      <c r="G84" s="453" t="n">
        <f aca="false">O15</f>
        <v>3</v>
      </c>
      <c r="H84" s="453" t="n">
        <f aca="false">O16</f>
        <v>3</v>
      </c>
      <c r="I84" s="453" t="n">
        <f aca="false">O17</f>
        <v>0</v>
      </c>
      <c r="J84" s="528" t="n">
        <f aca="false">O8</f>
        <v>10.3333333333333</v>
      </c>
      <c r="K84" s="529" t="n">
        <f aca="false">O9</f>
        <v>2.35702260395516</v>
      </c>
      <c r="L84" s="530" t="n">
        <f aca="false">O10</f>
        <v>6</v>
      </c>
      <c r="M84" s="530" t="n">
        <f aca="false">O11</f>
        <v>13</v>
      </c>
      <c r="N84" s="529" t="n">
        <f aca="false">P8</f>
        <v>1.5</v>
      </c>
      <c r="O84" s="529" t="n">
        <f aca="false">P9</f>
        <v>0.5</v>
      </c>
      <c r="P84" s="530" t="n">
        <f aca="false">P10</f>
        <v>1</v>
      </c>
      <c r="Q84" s="530" t="n">
        <f aca="false">P11</f>
        <v>2</v>
      </c>
      <c r="R84" s="530" t="n">
        <f aca="false">F21</f>
        <v>5.92</v>
      </c>
      <c r="S84" s="530" t="n">
        <f aca="false">L11</f>
        <v>0</v>
      </c>
      <c r="T84" s="530" t="n">
        <f aca="false">L12</f>
        <v>5</v>
      </c>
      <c r="U84" s="530" t="n">
        <f aca="false">L13</f>
        <v>0</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26</v>
      </c>
      <c r="U87" s="281"/>
      <c r="V87" s="281"/>
    </row>
    <row r="88" customFormat="false" ht="12.75" hidden="true" customHeight="false" outlineLevel="0" collapsed="false">
      <c r="C88" s="534"/>
      <c r="D88" s="534"/>
      <c r="E88" s="534"/>
      <c r="R88" s="281" t="s">
        <v>3451</v>
      </c>
      <c r="S88" s="281"/>
      <c r="T88" s="536" t="n">
        <f aca="false">VLOOKUP($T$91,($A$23:$U$82),21,0)</f>
        <v>52</v>
      </c>
      <c r="U88" s="281"/>
      <c r="V88" s="281" t="n">
        <f aca="false">COUNTIF(V23:V82,T89)</f>
        <v>1</v>
      </c>
    </row>
    <row r="89" customFormat="false" ht="12.75" hidden="true" customHeight="false" outlineLevel="0" collapsed="false">
      <c r="C89" s="534"/>
      <c r="D89" s="534"/>
      <c r="E89" s="534"/>
      <c r="R89" s="281" t="s">
        <v>3452</v>
      </c>
      <c r="S89" s="281"/>
      <c r="T89" s="536" t="n">
        <f aca="false">MAX($V$23:$V$82)</f>
        <v>4</v>
      </c>
      <c r="U89" s="281"/>
      <c r="V89" s="0"/>
    </row>
    <row r="90" customFormat="false" ht="12.75" hidden="true" customHeight="false" outlineLevel="0" collapsed="false">
      <c r="C90" s="534"/>
      <c r="D90" s="534"/>
      <c r="E90" s="534"/>
      <c r="R90" s="281" t="s">
        <v>3453</v>
      </c>
      <c r="S90" s="281" t="s">
        <v>3383</v>
      </c>
      <c r="T90" s="537" t="n">
        <f aca="false">IF(OR(ISERROR(SUM($U$23:$U$82)/SUM($V$23:$V$82)),F7&lt;&gt;100),-1,(SUM($U$23:$U$82)-T88)/(SUM($V$23:$V$82)-T89))</f>
        <v>9.33333333333333</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3455</v>
      </c>
      <c r="S92" s="281"/>
      <c r="T92" s="281" t="n">
        <f aca="false">MATCH(T89,$V$23:$V$82,0)</f>
        <v>4</v>
      </c>
      <c r="U92" s="281"/>
    </row>
    <row r="93" customFormat="false" ht="12.75" hidden="true" customHeight="false" outlineLevel="0" collapsed="false">
      <c r="C93" s="534"/>
      <c r="D93" s="534"/>
      <c r="E93" s="534"/>
      <c r="R93" s="485" t="s">
        <v>3456</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3382</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3389</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3383</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3388</v>
      </c>
      <c r="G21" s="8"/>
      <c r="H21" s="575" t="s">
        <v>3388</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2017-02-01T16:52:01Z</cp:lastPrinted>
  <dcterms:modified xsi:type="dcterms:W3CDTF">2017-02-01T16:52:14Z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