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ulourenc-St-Leger-V" sheetId="1" state="visible" r:id="rId3"/>
  </sheets>
  <externalReferences>
    <externalReference r:id="rId4"/>
  </externalReferences>
  <definedNames>
    <definedName function="false" hidden="false" localSheetId="0" name="_xlnm.Print_Area" vbProcedure="false">'Toulourenc-St-Leger-V'!$A$1:$O$82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'Toulourenc-St-Leger-V'!$A$23:$J$84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<sst xmlns="http://schemas.openxmlformats.org/spreadsheetml/2006/main" count="99" uniqueCount="95">
  <si>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</si>
  <si>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</si>
  <si>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</si>
  <si>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</si>
  <si>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</si>
  <si>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Toulourenc</t>
  </si>
  <si>
    <t xml:space="preserve">St Léger du Ventoux</t>
  </si>
  <si>
    <t xml:space="preserve">06710039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</si>
  <si>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</si>
  <si>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</si>
  <si>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</si>
  <si>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</si>
  <si>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</si>
  <si>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</si>
  <si>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</si>
  <si>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JUG.ATR</t>
  </si>
  <si>
    <t xml:space="preserve">Type de faciès</t>
  </si>
  <si>
    <t xml:space="preserve">radier</t>
  </si>
  <si>
    <t xml:space="preserve">niv. trophique:</t>
  </si>
  <si>
    <t xml:space="preserve">moyen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</si>
  <si>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</si>
  <si>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</si>
  <si>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</si>
  <si>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</si>
  <si>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</si>
  <si>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</si>
  <si>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</si>
  <si>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</si>
  <si>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</si>
  <si>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</si>
  <si>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</si>
  <si>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</si>
  <si>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</si>
  <si>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</si>
  <si>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</si>
  <si>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</si>
  <si>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</si>
  <si>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</si>
  <si>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</si>
  <si>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</si>
  <si>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</si>
  <si>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</si>
  <si>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</si>
  <si>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</si>
  <si>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</si>
  <si>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</si>
  <si>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</si>
  <si>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</si>
  <si>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</si>
  <si>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</si>
  <si>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</si>
  <si>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</si>
  <si>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</si>
  <si>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</si>
  <si>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</si>
  <si>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</si>
  <si>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</si>
  <si>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</si>
  <si>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</si>
  <si>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</si>
  <si>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</si>
  <si>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</si>
  <si>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</si>
  <si>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</si>
  <si>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</si>
  <si>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</si>
  <si>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</si>
  <si>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</si>
  <si>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</si>
  <si>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</si>
  <si>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</si>
  <si>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</si>
  <si>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</si>
  <si>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LYN.SPX</t>
  </si>
  <si>
    <t xml:space="preserve">TRI.SPX</t>
  </si>
  <si>
    <t xml:space="preserve">SPI.SPX</t>
  </si>
  <si>
    <t xml:space="preserve">SCY.SPX</t>
  </si>
  <si>
    <t xml:space="preserve">OED.SPX</t>
  </si>
  <si>
    <t xml:space="preserve">CLA.SPX</t>
  </si>
  <si>
    <t xml:space="preserve">FIS.CRA</t>
  </si>
  <si>
    <t xml:space="preserve">AGR.STO</t>
  </si>
  <si>
    <t xml:space="preserve">EQU.PAL</t>
  </si>
  <si>
    <t xml:space="preserve">JUN.ART</t>
  </si>
  <si>
    <t xml:space="preserve">NEW.COD</t>
  </si>
  <si>
    <t xml:space="preserve">Graminee</t>
  </si>
  <si>
    <t xml:space="preserve">MEN.LON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</si>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</sst>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éouges"/><sheetName val="Nartuby-Chateaudouble"/><sheetName val="Paillon-Conte-Coaraze"/><sheetName val="Real-Collobrier-Collobrieres"/><sheetName val="Siagne-St-Cezaire"/><sheetName val="Sorgues-Fontaine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40018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11.4</v>
      </c>
      <c r="M5" s="52"/>
      <c r="N5" s="53" t="s">
        <v>15</v>
      </c>
      <c r="O5" s="54" t="n">
        <v>9.5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10.4444444444444</v>
      </c>
      <c r="O8" s="83" t="n">
        <f aca="false">AVERAGE(J23:J82)</f>
        <v>1.66666666666667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3.81153220867642</v>
      </c>
      <c r="O9" s="83" t="n">
        <f aca="false">STDEV(J23:J82)</f>
        <v>0.707106781186548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19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0.07</v>
      </c>
      <c r="C12" s="118"/>
      <c r="D12" s="110"/>
      <c r="E12" s="110"/>
      <c r="F12" s="111" t="n">
        <f aca="false">($B12*$B$7+$C12*$C$7)/100</f>
        <v>0.07</v>
      </c>
      <c r="G12" s="119"/>
      <c r="H12" s="67"/>
      <c r="I12" s="120" t="s">
        <v>36</v>
      </c>
      <c r="J12" s="120"/>
      <c r="K12" s="114" t="n">
        <f aca="false">COUNTIF($G$23:$G$82,"=ALG")</f>
        <v>6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0.02</v>
      </c>
      <c r="C13" s="118"/>
      <c r="D13" s="110"/>
      <c r="E13" s="110"/>
      <c r="F13" s="111" t="n">
        <f aca="false">($B13*$B$7+$C13*$C$7)/100</f>
        <v>0.02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2</v>
      </c>
      <c r="L13" s="115"/>
      <c r="M13" s="125" t="s">
        <v>39</v>
      </c>
      <c r="N13" s="126" t="n">
        <f aca="false">COUNTIF(F23:F82,"&gt;0")</f>
        <v>13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9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0.04</v>
      </c>
      <c r="C15" s="133"/>
      <c r="D15" s="110"/>
      <c r="E15" s="110"/>
      <c r="F15" s="111" t="n">
        <f aca="false">($B15*$B$7+$C15*$C$7)/100</f>
        <v>0.04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3</v>
      </c>
      <c r="L15" s="115"/>
      <c r="M15" s="134" t="s">
        <v>45</v>
      </c>
      <c r="N15" s="135" t="n">
        <f aca="false">COUNTIF(J23:J82,"=1")</f>
        <v>4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4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0.09</v>
      </c>
      <c r="C17" s="118"/>
      <c r="D17" s="110"/>
      <c r="E17" s="110"/>
      <c r="F17" s="140"/>
      <c r="G17" s="111" t="n">
        <f aca="false">($B17*$B$7+$C17*$C$7)/100</f>
        <v>0.09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0.05</v>
      </c>
      <c r="C18" s="143"/>
      <c r="D18" s="110"/>
      <c r="E18" s="144" t="s">
        <v>51</v>
      </c>
      <c r="F18" s="140"/>
      <c r="G18" s="111" t="n">
        <f aca="false">($B18*$B$7+$C18*$C$7)/100</f>
        <v>0.05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0.14</v>
      </c>
      <c r="G19" s="152" t="n">
        <f aca="false">SUM(G16:G18)</f>
        <v>0.14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0.14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0.14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0.14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0.14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Lyngbya sp.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Lyngbya sp.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10</v>
      </c>
      <c r="S23" s="208" t="n">
        <f aca="false">IF(ISERROR(Q23*I23*J23),0,Q23*I23*J23)</f>
        <v>20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LYN.SPX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36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Tribonema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11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Tribonema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11</v>
      </c>
      <c r="S24" s="208" t="n">
        <f aca="false">IF(ISERROR(Q24*I24*J24),0,Q24*I24*J24)</f>
        <v>22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TRI.SPX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81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0.02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Spirogyra sp.       </v>
      </c>
      <c r="E25" s="217" t="e">
        <f aca="false">IF(D25="",0,VLOOKUP(D25,D$22:D24,1,0))</f>
        <v>#N/A</v>
      </c>
      <c r="F25" s="218" t="n">
        <f aca="false">($B25*$B$7+$C25*$C$7)/100</f>
        <v>0.02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10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Spirogyra sp.       </v>
      </c>
      <c r="L25" s="222"/>
      <c r="M25" s="222"/>
      <c r="N25" s="222"/>
      <c r="O25" s="206"/>
      <c r="P25" s="207" t="n">
        <f aca="false">IF(ISTEXT(H25),"",(B25*$B$7/100)+(C25*$C$7/100))</f>
        <v>0.02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10</v>
      </c>
      <c r="S25" s="208" t="n">
        <f aca="false">IF(ISERROR(Q25*I25*J25),0,Q25*I25*J25)</f>
        <v>10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SPI.SPX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70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Scytonema sp.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str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/>
      </c>
      <c r="J26" s="203" t="str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/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Scytonema sp.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0</v>
      </c>
      <c r="S26" s="208" t="n">
        <f aca="false">IF(ISERROR(Q26*I26*J26),0,Q26*I26*J26)</f>
        <v>0</v>
      </c>
      <c r="T26" s="223" t="n">
        <f aca="false">IF(ISERROR(Q26*J26),0,Q26*J26)</f>
        <v>0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SCY.SPX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67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Oedogonium sp.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6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Oedogonium sp.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6</v>
      </c>
      <c r="S27" s="208" t="n">
        <f aca="false">IF(ISERROR(Q27*I27*J27),0,Q27*I27*J27)</f>
        <v>12</v>
      </c>
      <c r="T27" s="223" t="n">
        <f aca="false">IF(ISERROR(Q27*J27),0,Q27*J27)</f>
        <v>2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OED.SPX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56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Cladophora sp. 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ALG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2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6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Cladophora sp. 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6</v>
      </c>
      <c r="S28" s="208" t="n">
        <f aca="false">IF(ISERROR(Q28*I28*J28),0,Q28*I28*J28)</f>
        <v>6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CLA.SPX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24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15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Jungermannia atrovirens (Solenostoma triste)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BRh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4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19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3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Jungermannia atrovirens (Solenostoma triste)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19</v>
      </c>
      <c r="S29" s="208" t="n">
        <f aca="false">IF(ISERROR(Q29*I29*J29),0,Q29*I29*J29)</f>
        <v>57</v>
      </c>
      <c r="T29" s="223" t="n">
        <f aca="false">IF(ISERROR(Q29*J29),0,Q29*J29)</f>
        <v>3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JUG.ATR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102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Fissidens crassipes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Fissidens crassipes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12</v>
      </c>
      <c r="S30" s="208" t="n">
        <f aca="false">IF(ISERROR(Q30*I30*J30),0,Q30*I30*J30)</f>
        <v>24</v>
      </c>
      <c r="T30" s="223" t="n">
        <f aca="false">IF(ISERROR(Q30*J30),0,Q30*J30)</f>
        <v>2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FIS.CRA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198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Agrostis stolonifera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10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1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Agrostis stolonifera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10</v>
      </c>
      <c r="S31" s="208" t="n">
        <f aca="false">IF(ISERROR(Q31*I31*J31),0,Q31*I31*J31)</f>
        <v>10</v>
      </c>
      <c r="T31" s="223" t="n">
        <f aca="false">IF(ISERROR(Q31*J31),0,Q31*J31)</f>
        <v>1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AGR.STO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520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Equisetum palustre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PTE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6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10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1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Equisetum palustre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10</v>
      </c>
      <c r="S32" s="208" t="n">
        <f aca="false">IF(ISERROR(Q32*I32*J32),0,Q32*I32*J32)</f>
        <v>10</v>
      </c>
      <c r="T32" s="223" t="n">
        <f aca="false">IF(ISERROR(Q32*J32),0,Q32*J32)</f>
        <v>1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EQU.PAL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282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Juncus articulatus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PHg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9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Juncus articulatus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JUN.ART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775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 t="n">
        <v>0.01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0.01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    -</v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Graminee</v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NEW.COD</v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4" t="s">
        <v>84</v>
      </c>
      <c r="BB34" s="9" t="n">
        <f aca="false">IF(A34="","",1)</f>
        <v>1</v>
      </c>
    </row>
    <row r="35" customFormat="false" ht="12.75" hidden="false" customHeight="false" outlineLevel="0" collapsed="false">
      <c r="A35" s="214" t="s">
        <v>85</v>
      </c>
      <c r="B35" s="215" t="n">
        <v>0.01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Mentha longifolia</v>
      </c>
      <c r="E35" s="217" t="e">
        <f aca="false">IF(D35="",0,VLOOKUP(D35,D$22:D34,1,0))</f>
        <v>#N/A</v>
      </c>
      <c r="F35" s="227" t="n">
        <f aca="false">($B35*$B$7+$C35*$C$7)/100</f>
        <v>0.01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PHe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8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Mentha longifolia</v>
      </c>
      <c r="L35" s="222"/>
      <c r="M35" s="222"/>
      <c r="N35" s="222"/>
      <c r="O35" s="206"/>
      <c r="P35" s="207" t="n">
        <f aca="false">IF(ISTEXT(H35),"",(B35*$B$7/100)+(C35*$C$7/100))</f>
        <v>0.01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MEN.LON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615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86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Toulourenc</v>
      </c>
      <c r="B84" s="247" t="str">
        <f aca="false">C3</f>
        <v>St Léger du Ventoux</v>
      </c>
      <c r="C84" s="248" t="n">
        <f aca="false">A4</f>
        <v>40018</v>
      </c>
      <c r="D84" s="249" t="n">
        <f aca="false">IF(ISERROR(SUM($S$23:$S$82)/SUM($T$23:$T$82)),"",SUM($S$23:$S$82)/SUM($T$23:$T$82))</f>
        <v>11.4</v>
      </c>
      <c r="E84" s="250" t="n">
        <f aca="false">N13</f>
        <v>13</v>
      </c>
      <c r="F84" s="247" t="n">
        <f aca="false">N14</f>
        <v>9</v>
      </c>
      <c r="G84" s="247" t="n">
        <f aca="false">N15</f>
        <v>4</v>
      </c>
      <c r="H84" s="247" t="n">
        <f aca="false">N16</f>
        <v>4</v>
      </c>
      <c r="I84" s="247" t="n">
        <f aca="false">N17</f>
        <v>1</v>
      </c>
      <c r="J84" s="251" t="n">
        <f aca="false">N8</f>
        <v>10.4444444444444</v>
      </c>
      <c r="K84" s="249" t="n">
        <f aca="false">N9</f>
        <v>3.81153220867642</v>
      </c>
      <c r="L84" s="250" t="n">
        <f aca="false">N10</f>
        <v>6</v>
      </c>
      <c r="M84" s="250" t="n">
        <f aca="false">N11</f>
        <v>19</v>
      </c>
      <c r="N84" s="249" t="n">
        <f aca="false">O8</f>
        <v>1.66666666666667</v>
      </c>
      <c r="O84" s="249" t="n">
        <f aca="false">O9</f>
        <v>0.707106781186548</v>
      </c>
      <c r="P84" s="250" t="n">
        <f aca="false">O10</f>
        <v>1</v>
      </c>
      <c r="Q84" s="250" t="n">
        <f aca="false">O11</f>
        <v>3</v>
      </c>
      <c r="R84" s="252" t="n">
        <f aca="false">F21</f>
        <v>0.14</v>
      </c>
      <c r="S84" s="250" t="n">
        <f aca="false">K11</f>
        <v>0</v>
      </c>
      <c r="T84" s="250" t="n">
        <f aca="false">K12</f>
        <v>6</v>
      </c>
      <c r="U84" s="250" t="n">
        <f aca="false">K13</f>
        <v>2</v>
      </c>
      <c r="V84" s="253" t="n">
        <f aca="false">K14</f>
        <v>1</v>
      </c>
      <c r="W84" s="254" t="n">
        <f aca="false">K15</f>
        <v>3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87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88</v>
      </c>
      <c r="Q87" s="9"/>
      <c r="R87" s="209" t="n">
        <f aca="false">VLOOKUP(MAX($R$23:$R$82),($R$23:$T$82),1,0)</f>
        <v>19</v>
      </c>
      <c r="S87" s="9"/>
      <c r="T87" s="9"/>
      <c r="U87" s="9"/>
    </row>
    <row r="88" customFormat="false" ht="12.75" hidden="true" customHeight="false" outlineLevel="0" collapsed="false">
      <c r="P88" s="9" t="s">
        <v>89</v>
      </c>
      <c r="Q88" s="9"/>
      <c r="R88" s="209" t="n">
        <f aca="false">VLOOKUP((R87),($R$23:$T$82),2,0)</f>
        <v>57</v>
      </c>
      <c r="S88" s="9"/>
      <c r="T88" s="9"/>
      <c r="U88" s="9"/>
    </row>
    <row r="89" customFormat="false" ht="12.75" hidden="true" customHeight="false" outlineLevel="0" collapsed="false">
      <c r="P89" s="9" t="s">
        <v>90</v>
      </c>
      <c r="Q89" s="9"/>
      <c r="R89" s="209" t="n">
        <f aca="false">VLOOKUP((R87),($R$23:$T$82),3,0)</f>
        <v>3</v>
      </c>
      <c r="S89" s="9"/>
    </row>
    <row r="90" customFormat="false" ht="12.75" hidden="true" customHeight="false" outlineLevel="0" collapsed="false">
      <c r="P90" s="9" t="s">
        <v>91</v>
      </c>
      <c r="Q90" s="9"/>
      <c r="R90" s="257" t="n">
        <f aca="false">IF(ISERROR(SUM($S$23:$S$82)/SUM($T$23:$T$82)),"",(SUM($S$23:$S$82)-R88)/(SUM($T$23:$T$82)-R89))</f>
        <v>9.5</v>
      </c>
      <c r="S90" s="9"/>
    </row>
    <row r="91" customFormat="false" ht="12.75" hidden="true" customHeight="false" outlineLevel="0" collapsed="false">
      <c r="P91" s="208" t="s">
        <v>92</v>
      </c>
      <c r="Q91" s="208"/>
      <c r="R91" s="208" t="str">
        <f aca="false">INDEX('[1]liste reference'!$A$7:$A$906,$S$91)</f>
        <v>JUG.ATR</v>
      </c>
      <c r="S91" s="9" t="n">
        <f aca="false">IF(ISERROR(MATCH($R$93,'[1]liste reference'!$A$7:$A$906,0)),MATCH($R$93,'[1]liste reference'!$B$7:$B$906,0),(MATCH($R$93,'[1]liste reference'!$A$7:$A$906,0)))</f>
        <v>102</v>
      </c>
      <c r="T91" s="245"/>
    </row>
    <row r="92" customFormat="false" ht="12.75" hidden="true" customHeight="false" outlineLevel="0" collapsed="false">
      <c r="P92" s="9" t="s">
        <v>93</v>
      </c>
      <c r="Q92" s="9"/>
      <c r="R92" s="9" t="n">
        <f aca="false">MATCH(R87,$R$23:$R$82,0)</f>
        <v>7</v>
      </c>
      <c r="S92" s="9"/>
    </row>
    <row r="93" customFormat="false" ht="12.75" hidden="true" customHeight="false" outlineLevel="0" collapsed="false">
      <c r="P93" s="208" t="s">
        <v>94</v>
      </c>
      <c r="Q93" s="9"/>
      <c r="R93" s="208" t="str">
        <f aca="false">INDEX($A$23:$A$82,$R$92)</f>
        <v>JUG.ATR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 AA34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35 AA34 A36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2013-10-22T12:34:39Z</dcterms:created>
  <dc:creator>elise.carnet</dc:creator>
  <dc:description/>
  <dc:language>fr-FR</dc:language>
  <cp:lastModifiedBy>elise.carnet</cp:lastModifiedBy>
  <dcterms:modified xsi:type="dcterms:W3CDTF">2013-10-23T15:56:41Z</dcterms:modified>
  <cp:revision>0</cp:revision>
  <dc:subject/>
  <dc:title/>
</cp:coreProperties>
</file>