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_rels/sheet1.xml.rels" ContentType="application/vnd.openxmlformats-package.relationships+xml"/>
  <Override PartName="/xl/worksheets/sheet1.xml" ContentType="application/vnd.openxmlformats-officedocument.spreadsheetml.worksheet+xml"/>
  <Override PartName="/xl/externalLinks/_rels/externalLink1.xml.rels" ContentType="application/vnd.openxmlformats-package.relationships+xml"/>
  <Override PartName="/xl/externalLinks/externalLink1.xml" ContentType="application/vnd.openxmlformats-officedocument.spreadsheetml.externalLink+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drawings/vmlDrawing1.vml" ContentType="application/vnd.openxmlformats-officedocument.vmlDrawing"/>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TOULOURENC" sheetId="1" state="visible" r:id="rId3"/>
  </sheets>
  <externalReferences>
    <externalReference r:id="rId4"/>
  </externalReferences>
  <definedNames>
    <definedName function="false" hidden="false" localSheetId="0" name="_xlnm.Print_Area" vbProcedure="false">TOULOURENC!$A$1:$O$34</definedName>
    <definedName function="false" hidden="false" name="Cf_" vbProcedure="false">'[1]liste codes réf'!$F$25:$F$26</definedName>
    <definedName function="false" hidden="false" name="noms_taxons" vbProcedure="false">'[1]liste codes réf'!$B$8:$B$896</definedName>
    <definedName function="false" hidden="false" name="type_courant" vbProcedure="false">'[1]liste codes réf'!$F$16:$F$21</definedName>
    <definedName function="false" hidden="false" name="type_lent" vbProcedure="false">'[1]liste codes réf'!$H$16:$H$20</definedName>
    <definedName function="false" hidden="false" localSheetId="0" name="Excel_BuiltIn__FilterDatabase" vbProcedure="false">TOULOURENC!$A$23:$J$84</definedName>
  </definedNames>
  <calcPr iterateCount="100" refMode="A1" iterate="false" iterateDelta="0.001"/>
  <extLst>
    <ext xmlns:loext="http://schemas.libreoffice.org/" uri="{7626C862-2A13-11E5-B345-FEFF819CDC9F}">
      <loext:extCalcPr stringRefSyntax="CalcA1"/>
    </ext>
  </extLst>
</workbook>
</file>

<file path=xl/comments1.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rPr>
          <t xml:space="preserve">Renseigner éventuellement l'organisme qui a réalisé le relevé (pour édition ou archivage).</t>
        </r>
      </text>
      <mc:AlternateContent>
        <mc:Choice Requires="v2">
          <commentPr autoFill="true" autoScale="false" colHidden="false" locked="false" rowHidden="false" textHAlign="justify" textVAlign="top">
            <anchor moveWithCells="false" sizeWithCells="false">
              <xdr:from>
                <xdr:col>1</xdr:col>
                <xdr:colOff>16</xdr:colOff>
                <xdr:row>0</xdr:row>
                <xdr:rowOff>11</xdr:rowOff>
              </xdr:from>
              <xdr:to>
                <xdr:col>8</xdr:col>
                <xdr:colOff>15</xdr:colOff>
                <xdr:row>2</xdr:row>
                <xdr:rowOff>8</xdr:rowOff>
              </xdr:to>
            </anchor>
          </commentPr>
        </mc:Choice>
        <mc:Fallback/>
      </mc:AlternateContent>
    </comment>
    <comment ref="A3" authorId="0">
      <text>
        <r>
          <rPr>
            <sz val="8"/>
            <color rgb="FF000000"/>
            <rFont val="Tahoma"/>
            <family val="2"/>
          </rPr>
          <t xml:space="preserve">Cours d'eau</t>
        </r>
      </text>
      <mc:AlternateContent>
        <mc:Choice Requires="v2">
          <commentPr autoFill="true" autoScale="false" colHidden="false" locked="false" rowHidden="false" textHAlign="justify" textVAlign="top">
            <anchor moveWithCells="false" sizeWithCells="false">
              <xdr:from>
                <xdr:col>1</xdr:col>
                <xdr:colOff>16</xdr:colOff>
                <xdr:row>1</xdr:row>
                <xdr:rowOff>6</xdr:rowOff>
              </xdr:from>
              <xdr:to>
                <xdr:col>5</xdr:col>
                <xdr:colOff>10</xdr:colOff>
                <xdr:row>2</xdr:row>
                <xdr:rowOff>12</xdr:rowOff>
              </xdr:to>
            </anchor>
          </commentPr>
        </mc:Choice>
        <mc:Fallback/>
      </mc:AlternateContent>
    </comment>
    <comment ref="A4" authorId="0">
      <text>
        <r>
          <rPr>
            <sz val="8"/>
            <color rgb="FF000000"/>
            <rFont val="Tahoma"/>
            <family val="2"/>
          </rPr>
          <t xml:space="preserve">date du relevé</t>
        </r>
      </text>
      <mc:AlternateContent>
        <mc:Choice Requires="v2">
          <commentPr autoFill="true" autoScale="false" colHidden="false" locked="false" rowHidden="false" textHAlign="justify" textVAlign="top">
            <anchor moveWithCells="false" sizeWithCells="false">
              <xdr:from>
                <xdr:col>1</xdr:col>
                <xdr:colOff>16</xdr:colOff>
                <xdr:row>2</xdr:row>
                <xdr:rowOff>6</xdr:rowOff>
              </xdr:from>
              <xdr:to>
                <xdr:col>5</xdr:col>
                <xdr:colOff>10</xdr:colOff>
                <xdr:row>3</xdr:row>
                <xdr:rowOff>4</xdr:rowOff>
              </xdr:to>
            </anchor>
          </commentPr>
        </mc:Choice>
        <mc:Fallback/>
      </mc:AlternateContent>
    </comment>
    <comment ref="A22" authorId="0">
      <text>
        <r>
          <rPr>
            <b val="true"/>
            <sz val="8"/>
            <color rgb="FF000000"/>
            <rFont val="Tahoma"/>
            <family val="0"/>
          </rPr>
          <t xml:space="preserve">Taper le code du taxon ou 
choisir le nom dans la liste déroulante</t>
        </r>
        <r>
          <rPr>
            <sz val="8"/>
            <color rgb="FF000000"/>
            <rFont val="Tahoma"/>
            <family val="2"/>
          </rPr>
          <t xml:space="preserve"> (présentés par ordre alphabétique).
Remplir la colonne "confer", sur la droite, si le taxon fait seulement référence à celui choisi.
Il est possible de saisir un nouveau code intitulé NEW.COD s'il n'en existe pas pour le taxon inventorié. Saisir le nom du taxon correspondant dans la colonne "nouveaux taxa hors liste de référence".
</t>
        </r>
        <r>
          <rPr>
            <i val="true"/>
            <sz val="8"/>
            <color rgb="FF000000"/>
            <rFont val="Tahoma"/>
            <family val="2"/>
          </rPr>
          <t xml:space="preserve">Les codes déjà saisis apparaîssent en rouge.</t>
        </r>
      </text>
      <mc:AlternateContent>
        <mc:Choice Requires="v2">
          <commentPr autoFill="true" autoScale="false" colHidden="false" locked="false" rowHidden="false" textHAlign="justify" textVAlign="top">
            <anchor moveWithCells="false" sizeWithCells="false">
              <xdr:from>
                <xdr:col>1</xdr:col>
                <xdr:colOff>16</xdr:colOff>
                <xdr:row>20</xdr:row>
                <xdr:rowOff>6</xdr:rowOff>
              </xdr:from>
              <xdr:to>
                <xdr:col>14</xdr:col>
                <xdr:colOff>36</xdr:colOff>
                <xdr:row>25</xdr:row>
                <xdr:rowOff>17</xdr:rowOff>
              </xdr:to>
            </anchor>
          </commentPr>
        </mc:Choice>
        <mc:Fallback/>
      </mc:AlternateContent>
    </comment>
    <comment ref="B6" authorId="0">
      <text>
        <r>
          <rPr>
            <sz val="8"/>
            <color rgb="FF000000"/>
            <rFont val="Tahoma"/>
            <family val="2"/>
          </rPr>
          <t xml:space="preserve">Type de faciès:
- ch. lotique
- plat courant
- radier
- rapide
- cascade
- autre</t>
        </r>
      </text>
      <mc:AlternateContent>
        <mc:Choice Requires="v2">
          <commentPr autoFill="true" autoScale="false" colHidden="false" locked="false" rowHidden="false" textHAlign="justify" textVAlign="top">
            <anchor moveWithCells="false" sizeWithCells="false">
              <xdr:from>
                <xdr:col>2</xdr:col>
                <xdr:colOff>0</xdr:colOff>
                <xdr:row>2</xdr:row>
                <xdr:rowOff>7</xdr:rowOff>
              </xdr:from>
              <xdr:to>
                <xdr:col>5</xdr:col>
                <xdr:colOff>25</xdr:colOff>
                <xdr:row>9</xdr:row>
                <xdr:rowOff>1</xdr:rowOff>
              </xdr:to>
            </anchor>
          </commentPr>
        </mc:Choice>
        <mc:Fallback/>
      </mc:AlternateContent>
    </comment>
    <comment ref="B7" authorId="0">
      <text>
        <r>
          <rPr>
            <sz val="8"/>
            <color rgb="FF000000"/>
            <rFont val="Tahoma"/>
            <family val="2"/>
          </rPr>
          <t xml:space="preserve">part du faciès courant sur la station.</t>
        </r>
      </text>
      <mc:AlternateContent>
        <mc:Choice Requires="v2">
          <commentPr autoFill="true" autoScale="false" colHidden="false" locked="false" rowHidden="false" textHAlign="justify" textVAlign="top">
            <anchor moveWithCells="false" sizeWithCells="false">
              <xdr:from>
                <xdr:col>2</xdr:col>
                <xdr:colOff>0</xdr:colOff>
                <xdr:row>4</xdr:row>
                <xdr:rowOff>18</xdr:rowOff>
              </xdr:from>
              <xdr:to>
                <xdr:col>6</xdr:col>
                <xdr:colOff>28</xdr:colOff>
                <xdr:row>6</xdr:row>
                <xdr:rowOff>12</xdr:rowOff>
              </xdr:to>
            </anchor>
          </commentPr>
        </mc:Choice>
        <mc:Fallback/>
      </mc:AlternateContent>
    </comment>
    <comment ref="B20" authorId="0">
      <text>
        <r>
          <rPr>
            <sz val="8"/>
            <color rgb="FF000000"/>
            <rFont val="Tahoma"/>
            <family val="2"/>
          </rPr>
          <t xml:space="preserve">A comparer avec la surface végétalisée totale du faciès.</t>
        </r>
      </text>
      <mc:AlternateContent>
        <mc:Choice Requires="v2">
          <commentPr autoFill="true" autoScale="false" colHidden="false" locked="false" rowHidden="false" textHAlign="justify" textVAlign="top">
            <anchor moveWithCells="false" sizeWithCells="false">
              <xdr:from>
                <xdr:col>2</xdr:col>
                <xdr:colOff>0</xdr:colOff>
                <xdr:row>17</xdr:row>
                <xdr:rowOff>13</xdr:rowOff>
              </xdr:from>
              <xdr:to>
                <xdr:col>6</xdr:col>
                <xdr:colOff>28</xdr:colOff>
                <xdr:row>20</xdr:row>
                <xdr:rowOff>5</xdr:rowOff>
              </xdr:to>
            </anchor>
          </commentPr>
        </mc:Choice>
        <mc:Fallback/>
      </mc:AlternateContent>
    </comment>
    <comment ref="B21" authorId="0">
      <text>
        <r>
          <rPr>
            <sz val="8"/>
            <color rgb="FF000000"/>
            <rFont val="Tahoma"/>
            <family val="2"/>
          </rPr>
          <t xml:space="preserve">contribution du faciès au recouvrement total station.</t>
        </r>
      </text>
      <mc:AlternateContent>
        <mc:Choice Requires="v2">
          <commentPr autoFill="true" autoScale="false" colHidden="false" locked="false" rowHidden="false" textHAlign="justify" textVAlign="top">
            <anchor moveWithCells="false" sizeWithCells="false">
              <xdr:from>
                <xdr:col>2</xdr:col>
                <xdr:colOff>0</xdr:colOff>
                <xdr:row>18</xdr:row>
                <xdr:rowOff>15</xdr:rowOff>
              </xdr:from>
              <xdr:to>
                <xdr:col>6</xdr:col>
                <xdr:colOff>28</xdr:colOff>
                <xdr:row>21</xdr:row>
                <xdr:rowOff>8</xdr:rowOff>
              </xdr:to>
            </anchor>
          </commentPr>
        </mc:Choice>
        <mc:Fallback/>
      </mc:AlternateContent>
    </comment>
    <comment ref="B22" authorId="0">
      <text>
        <r>
          <rPr>
            <b val="true"/>
            <sz val="8"/>
            <color rgb="FF000000"/>
            <rFont val="Tahoma"/>
            <family val="0"/>
          </rPr>
          <t xml:space="preserve">Saisir le % de recouvrement dans le faciès courant
</t>
        </r>
      </text>
      <mc:AlternateContent>
        <mc:Choice Requires="v2">
          <commentPr autoFill="true" autoScale="false" colHidden="false" locked="false" rowHidden="false" textHAlign="justify" textVAlign="top">
            <anchor moveWithCells="false" sizeWithCells="false">
              <xdr:from>
                <xdr:col>2</xdr:col>
                <xdr:colOff>0</xdr:colOff>
                <xdr:row>20</xdr:row>
                <xdr:rowOff>6</xdr:rowOff>
              </xdr:from>
              <xdr:to>
                <xdr:col>6</xdr:col>
                <xdr:colOff>34</xdr:colOff>
                <xdr:row>23</xdr:row>
                <xdr:rowOff>6</xdr:rowOff>
              </xdr:to>
            </anchor>
          </commentPr>
        </mc:Choice>
        <mc:Fallback/>
      </mc:AlternateContent>
    </comment>
    <comment ref="C2" authorId="0">
      <text>
        <r>
          <rPr>
            <sz val="8"/>
            <color rgb="FF000000"/>
            <rFont val="Tahoma"/>
            <family val="0"/>
          </rPr>
          <t xml:space="preserve">personnes ayant réalisées le relevé
</t>
        </r>
      </text>
      <mc:AlternateContent>
        <mc:Choice Requires="v2">
          <commentPr autoFill="true" autoScale="false" colHidden="false" locked="false" rowHidden="false" textHAlign="justify" textVAlign="top">
            <anchor moveWithCells="false" sizeWithCells="false">
              <xdr:from>
                <xdr:col>5</xdr:col>
                <xdr:colOff>16</xdr:colOff>
                <xdr:row>0</xdr:row>
                <xdr:rowOff>11</xdr:rowOff>
              </xdr:from>
              <xdr:to>
                <xdr:col>10</xdr:col>
                <xdr:colOff>5</xdr:colOff>
                <xdr:row>2</xdr:row>
                <xdr:rowOff>4</xdr:rowOff>
              </xdr:to>
            </anchor>
          </commentPr>
        </mc:Choice>
        <mc:Fallback/>
      </mc:AlternateContent>
    </comment>
    <comment ref="C3" authorId="0">
      <text>
        <r>
          <rPr>
            <sz val="8"/>
            <color rgb="FF000000"/>
            <rFont val="Tahoma"/>
            <family val="2"/>
          </rPr>
          <t xml:space="preserve">Nom de la station</t>
        </r>
      </text>
      <mc:AlternateContent>
        <mc:Choice Requires="v2">
          <commentPr autoFill="true" autoScale="false" colHidden="false" locked="false" rowHidden="false" textHAlign="justify" textVAlign="top">
            <anchor moveWithCells="false" sizeWithCells="false">
              <xdr:from>
                <xdr:col>5</xdr:col>
                <xdr:colOff>16</xdr:colOff>
                <xdr:row>1</xdr:row>
                <xdr:rowOff>6</xdr:rowOff>
              </xdr:from>
              <xdr:to>
                <xdr:col>10</xdr:col>
                <xdr:colOff>1</xdr:colOff>
                <xdr:row>2</xdr:row>
                <xdr:rowOff>11</xdr:rowOff>
              </xdr:to>
            </anchor>
          </commentPr>
        </mc:Choice>
        <mc:Fallback/>
      </mc:AlternateContent>
    </comment>
    <comment ref="C6" authorId="0">
      <text>
        <r>
          <rPr>
            <sz val="8"/>
            <color rgb="FF000000"/>
            <rFont val="Tahoma"/>
            <family val="2"/>
          </rPr>
          <t xml:space="preserve">Type de faciès:
- ch. lentique
- mouille
- plat lent
- autre</t>
        </r>
      </text>
      <mc:AlternateContent>
        <mc:Choice Requires="v2">
          <commentPr autoFill="true" autoScale="false" colHidden="false" locked="false" rowHidden="false" textHAlign="justify" textVAlign="top">
            <anchor moveWithCells="false" sizeWithCells="false">
              <xdr:from>
                <xdr:col>5</xdr:col>
                <xdr:colOff>21</xdr:colOff>
                <xdr:row>1</xdr:row>
                <xdr:rowOff>14</xdr:rowOff>
              </xdr:from>
              <xdr:to>
                <xdr:col>10</xdr:col>
                <xdr:colOff>0</xdr:colOff>
                <xdr:row>6</xdr:row>
                <xdr:rowOff>4</xdr:rowOff>
              </xdr:to>
            </anchor>
          </commentPr>
        </mc:Choice>
        <mc:Fallback/>
      </mc:AlternateContent>
    </comment>
    <comment ref="C7" authorId="0">
      <text>
        <r>
          <rPr>
            <sz val="8"/>
            <color rgb="FF000000"/>
            <rFont val="Tahoma"/>
            <family val="2"/>
          </rPr>
          <t xml:space="preserve">part du faciès lent
sur la station.</t>
        </r>
      </text>
      <mc:AlternateContent>
        <mc:Choice Requires="v2">
          <commentPr autoFill="true" autoScale="false" colHidden="false" locked="false" rowHidden="false" textHAlign="justify" textVAlign="top">
            <anchor moveWithCells="false" sizeWithCells="false">
              <xdr:from>
                <xdr:col>5</xdr:col>
                <xdr:colOff>8</xdr:colOff>
                <xdr:row>6</xdr:row>
                <xdr:rowOff>1</xdr:rowOff>
              </xdr:from>
              <xdr:to>
                <xdr:col>10</xdr:col>
                <xdr:colOff>9</xdr:colOff>
                <xdr:row>7</xdr:row>
                <xdr:rowOff>15</xdr:rowOff>
              </xdr:to>
            </anchor>
          </commentPr>
        </mc:Choice>
        <mc:Fallback/>
      </mc:AlternateContent>
    </comment>
    <comment ref="C20" authorId="0">
      <text>
        <r>
          <rPr>
            <sz val="8"/>
            <color rgb="FF000000"/>
            <rFont val="Tahoma"/>
            <family val="2"/>
          </rPr>
          <t xml:space="preserve">A comparer avec la surface végétalisée totale du faciès.</t>
        </r>
      </text>
      <mc:AlternateContent>
        <mc:Choice Requires="v2">
          <commentPr autoFill="true" autoScale="false" colHidden="false" locked="false" rowHidden="false" textHAlign="justify" textVAlign="top">
            <anchor moveWithCells="false" sizeWithCells="false">
              <xdr:from>
                <xdr:col>6</xdr:col>
                <xdr:colOff>0</xdr:colOff>
                <xdr:row>17</xdr:row>
                <xdr:rowOff>13</xdr:rowOff>
              </xdr:from>
              <xdr:to>
                <xdr:col>8</xdr:col>
                <xdr:colOff>0</xdr:colOff>
                <xdr:row>20</xdr:row>
                <xdr:rowOff>5</xdr:rowOff>
              </xdr:to>
            </anchor>
          </commentPr>
        </mc:Choice>
        <mc:Fallback/>
      </mc:AlternateContent>
    </comment>
    <comment ref="C21" authorId="0">
      <text>
        <r>
          <rPr>
            <sz val="8"/>
            <color rgb="FF000000"/>
            <rFont val="Tahoma"/>
            <family val="2"/>
          </rPr>
          <t xml:space="preserve">contribution du faciès au recouvrement total station.</t>
        </r>
      </text>
      <mc:AlternateContent>
        <mc:Choice Requires="v2">
          <commentPr autoFill="true" autoScale="false" colHidden="false" locked="false" rowHidden="false" textHAlign="justify" textVAlign="top">
            <anchor moveWithCells="false" sizeWithCells="false">
              <xdr:from>
                <xdr:col>6</xdr:col>
                <xdr:colOff>0</xdr:colOff>
                <xdr:row>18</xdr:row>
                <xdr:rowOff>15</xdr:rowOff>
              </xdr:from>
              <xdr:to>
                <xdr:col>11</xdr:col>
                <xdr:colOff>20</xdr:colOff>
                <xdr:row>20</xdr:row>
                <xdr:rowOff>12</xdr:rowOff>
              </xdr:to>
            </anchor>
          </commentPr>
        </mc:Choice>
        <mc:Fallback/>
      </mc:AlternateContent>
    </comment>
    <comment ref="C22" authorId="0">
      <text>
        <r>
          <rPr>
            <b val="true"/>
            <sz val="8"/>
            <color rgb="FF000000"/>
            <rFont val="Tahoma"/>
            <family val="0"/>
          </rPr>
          <t xml:space="preserve">Saisir le % de recouvrement dans le faciès lent
</t>
        </r>
      </text>
      <mc:AlternateContent>
        <mc:Choice Requires="v2">
          <commentPr autoFill="true" autoScale="false" colHidden="false" locked="false" rowHidden="false" textHAlign="justify" textVAlign="top">
            <anchor moveWithCells="false" sizeWithCells="false">
              <xdr:from>
                <xdr:col>6</xdr:col>
                <xdr:colOff>0</xdr:colOff>
                <xdr:row>19</xdr:row>
                <xdr:rowOff>14</xdr:rowOff>
              </xdr:from>
              <xdr:to>
                <xdr:col>10</xdr:col>
                <xdr:colOff>0</xdr:colOff>
                <xdr:row>23</xdr:row>
                <xdr:rowOff>1</xdr:rowOff>
              </xdr:to>
            </anchor>
          </commentPr>
        </mc:Choice>
        <mc:Fallback/>
      </mc:AlternateContent>
    </comment>
    <comment ref="F8" authorId="0">
      <text>
        <r>
          <rPr>
            <sz val="8"/>
            <color rgb="FF000000"/>
            <rFont val="Tahoma"/>
            <family val="2"/>
          </rPr>
          <t xml:space="preserve">total du taux de recouvrement de faciès pondérés par la surface relative des faciès (= total théorique station).</t>
        </r>
      </text>
      <mc:AlternateContent>
        <mc:Choice Requires="v2">
          <commentPr autoFill="true" autoScale="false" colHidden="false" locked="false" rowHidden="false" textHAlign="justify" textVAlign="top">
            <anchor moveWithCells="false" sizeWithCells="false">
              <xdr:from>
                <xdr:col>11</xdr:col>
                <xdr:colOff>0</xdr:colOff>
                <xdr:row>6</xdr:row>
                <xdr:rowOff>6</xdr:rowOff>
              </xdr:from>
              <xdr:to>
                <xdr:col>21</xdr:col>
                <xdr:colOff>0</xdr:colOff>
                <xdr:row>9</xdr:row>
                <xdr:rowOff>1</xdr:rowOff>
              </xdr:to>
            </anchor>
          </commentPr>
        </mc:Choice>
        <mc:Fallback/>
      </mc:AlternateContent>
    </comment>
    <comment ref="F19" authorId="0">
      <text>
        <r>
          <rPr>
            <sz val="8"/>
            <color rgb="FF000000"/>
            <rFont val="Tahoma"/>
            <family val="2"/>
          </rPr>
          <t xml:space="preserve">total des recouvrements pondérés par groupes (hors périphyton).</t>
        </r>
      </text>
      <mc:AlternateContent>
        <mc:Choice Requires="v2">
          <commentPr autoFill="true" autoScale="false" colHidden="false" locked="false" rowHidden="false" textHAlign="justify" textVAlign="top">
            <anchor moveWithCells="false" sizeWithCells="false">
              <xdr:from>
                <xdr:col>10</xdr:col>
                <xdr:colOff>12</xdr:colOff>
                <xdr:row>17</xdr:row>
                <xdr:rowOff>8</xdr:rowOff>
              </xdr:from>
              <xdr:to>
                <xdr:col>13</xdr:col>
                <xdr:colOff>51</xdr:colOff>
                <xdr:row>20</xdr:row>
                <xdr:rowOff>2</xdr:rowOff>
              </xdr:to>
            </anchor>
          </commentPr>
        </mc:Choice>
        <mc:Fallback/>
      </mc:AlternateContent>
    </comment>
    <comment ref="F21" authorId="0">
      <text>
        <r>
          <rPr>
            <sz val="8"/>
            <color rgb="FF000000"/>
            <rFont val="Tahoma"/>
            <family val="2"/>
          </rPr>
          <t xml:space="preserve">somme des recouvrements 
pondérés (taxons).</t>
        </r>
      </text>
      <mc:AlternateContent>
        <mc:Choice Requires="v2">
          <commentPr autoFill="true" autoScale="false" colHidden="false" locked="false" rowHidden="false" textHAlign="justify" textVAlign="top">
            <anchor moveWithCells="false" sizeWithCells="false">
              <xdr:from>
                <xdr:col>10</xdr:col>
                <xdr:colOff>12</xdr:colOff>
                <xdr:row>19</xdr:row>
                <xdr:rowOff>8</xdr:rowOff>
              </xdr:from>
              <xdr:to>
                <xdr:col>13</xdr:col>
                <xdr:colOff>51</xdr:colOff>
                <xdr:row>21</xdr:row>
                <xdr:rowOff>11</xdr:rowOff>
              </xdr:to>
            </anchor>
          </commentPr>
        </mc:Choice>
        <mc:Fallback/>
      </mc:AlternateContent>
    </comment>
    <comment ref="F22" authorId="0">
      <text>
        <r>
          <rPr>
            <sz val="8"/>
            <color rgb="FF000000"/>
            <rFont val="Tahoma"/>
            <family val="2"/>
          </rPr>
          <t xml:space="preserve">recouvrement de chaque taxon sur l'ensemble de la station (somme des recouvrements pondérés par faciès).</t>
        </r>
      </text>
      <mc:AlternateContent>
        <mc:Choice Requires="v2">
          <commentPr autoFill="true" autoScale="false" colHidden="false" locked="false" rowHidden="false" textHAlign="justify" textVAlign="top">
            <anchor moveWithCells="false" sizeWithCells="false">
              <xdr:from>
                <xdr:col>9</xdr:col>
                <xdr:colOff>2</xdr:colOff>
                <xdr:row>20</xdr:row>
                <xdr:rowOff>11</xdr:rowOff>
              </xdr:from>
              <xdr:to>
                <xdr:col>13</xdr:col>
                <xdr:colOff>29</xdr:colOff>
                <xdr:row>23</xdr:row>
                <xdr:rowOff>8</xdr:rowOff>
              </xdr:to>
            </anchor>
          </commentPr>
        </mc:Choice>
        <mc:Fallback/>
      </mc:AlternateContent>
    </comment>
    <comment ref="G7" authorId="0">
      <text>
        <r>
          <rPr>
            <sz val="8"/>
            <color rgb="FF000000"/>
            <rFont val="Tahoma"/>
            <family val="2"/>
          </rPr>
          <t xml:space="preserve">contrôle : la somme des recouvrements des faciès doit être égale à 100 %.</t>
        </r>
      </text>
      <mc:AlternateContent>
        <mc:Choice Requires="v2">
          <commentPr autoFill="true" autoScale="false" colHidden="false" locked="false" rowHidden="false" textHAlign="justify" textVAlign="top">
            <anchor moveWithCells="false" sizeWithCells="false">
              <xdr:from>
                <xdr:col>11</xdr:col>
                <xdr:colOff>38</xdr:colOff>
                <xdr:row>5</xdr:row>
                <xdr:rowOff>7</xdr:rowOff>
              </xdr:from>
              <xdr:to>
                <xdr:col>13</xdr:col>
                <xdr:colOff>13</xdr:colOff>
                <xdr:row>8</xdr:row>
                <xdr:rowOff>14</xdr:rowOff>
              </xdr:to>
            </anchor>
          </commentPr>
        </mc:Choice>
        <mc:Fallback/>
      </mc:AlternateContent>
    </comment>
    <comment ref="G22" authorId="0">
      <text>
        <r>
          <rPr>
            <b val="true"/>
            <sz val="8"/>
            <color rgb="FF000000"/>
            <rFont val="Tahoma"/>
            <family val="0"/>
          </rPr>
          <t xml:space="preserve">type floristique:
</t>
        </r>
        <r>
          <rPr>
            <sz val="8"/>
            <color rgb="FF000000"/>
            <rFont val="Tahoma"/>
            <family val="2"/>
          </rPr>
          <t xml:space="preserve">HET : hétérotrophes
ALG : algues
LIC : lichens
BRm : mousses
BRh : hépathiques
PTE : ptéridophytes
PHy : hydrophytes
PHe : hélophytes
PHg : hygrophytes
PHx : autres phanérogames</t>
        </r>
      </text>
      <mc:AlternateContent>
        <mc:Choice Requires="v2">
          <commentPr autoFill="true" autoScale="false" colHidden="false" locked="false" rowHidden="false" textHAlign="justify" textVAlign="top">
            <anchor moveWithCells="false" sizeWithCells="false">
              <xdr:from>
                <xdr:col>10</xdr:col>
                <xdr:colOff>12</xdr:colOff>
                <xdr:row>18</xdr:row>
                <xdr:rowOff>6</xdr:rowOff>
              </xdr:from>
              <xdr:to>
                <xdr:col>13</xdr:col>
                <xdr:colOff>47</xdr:colOff>
                <xdr:row>28</xdr:row>
                <xdr:rowOff>2</xdr:rowOff>
              </xdr:to>
            </anchor>
          </commentPr>
        </mc:Choice>
        <mc:Fallback/>
      </mc:AlternateContent>
    </comment>
    <comment ref="H22" authorId="0">
      <text>
        <r>
          <rPr>
            <sz val="8"/>
            <color rgb="FF000000"/>
            <rFont val="Tahoma"/>
            <family val="2"/>
          </rPr>
          <t xml:space="preserve">code groupe (1 à 10)
NC : non coté IBMR.
NI : non inventorié</t>
        </r>
      </text>
      <mc:AlternateContent>
        <mc:Choice Requires="v2">
          <commentPr autoFill="true" autoScale="false" colHidden="true" locked="false" rowHidden="false" textHAlign="justify" textVAlign="top">
            <anchor moveWithCells="false" sizeWithCells="false">
              <xdr:from>
                <xdr:col>11</xdr:col>
                <xdr:colOff>0</xdr:colOff>
                <xdr:row>19</xdr:row>
                <xdr:rowOff>14</xdr:rowOff>
              </xdr:from>
              <xdr:to>
                <xdr:col>13</xdr:col>
                <xdr:colOff>43</xdr:colOff>
                <xdr:row>22</xdr:row>
                <xdr:rowOff>17</xdr:rowOff>
              </xdr:to>
            </anchor>
          </commentPr>
        </mc:Choice>
        <mc:Fallback/>
      </mc:AlternateContent>
    </comment>
    <comment ref="I22" authorId="0">
      <text>
        <r>
          <rPr>
            <b val="true"/>
            <sz val="8"/>
            <color rgb="FF000000"/>
            <rFont val="Tahoma"/>
            <family val="0"/>
          </rPr>
          <t xml:space="preserve">Cote spécifique</t>
        </r>
      </text>
      <mc:AlternateContent>
        <mc:Choice Requires="v2">
          <commentPr autoFill="true" autoScale="false" colHidden="false" locked="false" rowHidden="false" textHAlign="justify" textVAlign="top">
            <anchor moveWithCells="false" sizeWithCells="false">
              <xdr:from>
                <xdr:col>10</xdr:col>
                <xdr:colOff>25</xdr:colOff>
                <xdr:row>20</xdr:row>
                <xdr:rowOff>8</xdr:rowOff>
              </xdr:from>
              <xdr:to>
                <xdr:col>13</xdr:col>
                <xdr:colOff>26</xdr:colOff>
                <xdr:row>21</xdr:row>
                <xdr:rowOff>8</xdr:rowOff>
              </xdr:to>
            </anchor>
          </commentPr>
        </mc:Choice>
        <mc:Fallback/>
      </mc:AlternateContent>
    </comment>
    <comment ref="J22" authorId="0">
      <text>
        <r>
          <rPr>
            <b val="true"/>
            <sz val="8"/>
            <color rgb="FF000000"/>
            <rFont val="Tahoma"/>
            <family val="0"/>
          </rPr>
          <t xml:space="preserve">Coefficient de sténoécie</t>
        </r>
      </text>
      <mc:AlternateContent>
        <mc:Choice Requires="v2">
          <commentPr autoFill="true" autoScale="false" colHidden="false" locked="false" rowHidden="false" textHAlign="justify" textVAlign="top">
            <anchor moveWithCells="false" sizeWithCells="false">
              <xdr:from>
                <xdr:col>11</xdr:col>
                <xdr:colOff>0</xdr:colOff>
                <xdr:row>19</xdr:row>
                <xdr:rowOff>14</xdr:rowOff>
              </xdr:from>
              <xdr:to>
                <xdr:col>12</xdr:col>
                <xdr:colOff>19</xdr:colOff>
                <xdr:row>21</xdr:row>
                <xdr:rowOff>12</xdr:rowOff>
              </xdr:to>
            </anchor>
          </commentPr>
        </mc:Choice>
        <mc:Fallback/>
      </mc:AlternateContent>
    </comment>
    <comment ref="K3" authorId="0">
      <text>
        <r>
          <rPr>
            <sz val="8"/>
            <color rgb="FF000000"/>
            <rFont val="Tahoma"/>
            <family val="0"/>
          </rPr>
          <t xml:space="preserve">N° de code de la station, code RNB de préférence.
</t>
        </r>
      </text>
      <mc:AlternateContent>
        <mc:Choice Requires="v2">
          <commentPr autoFill="true" autoScale="false" colHidden="false" locked="false" rowHidden="false" textHAlign="justify" textVAlign="top">
            <anchor moveWithCells="false" sizeWithCells="false">
              <xdr:from>
                <xdr:col>11</xdr:col>
                <xdr:colOff>16</xdr:colOff>
                <xdr:row>1</xdr:row>
                <xdr:rowOff>6</xdr:rowOff>
              </xdr:from>
              <xdr:to>
                <xdr:col>13</xdr:col>
                <xdr:colOff>17</xdr:colOff>
                <xdr:row>3</xdr:row>
                <xdr:rowOff>4</xdr:rowOff>
              </xdr:to>
            </anchor>
          </commentPr>
        </mc:Choice>
        <mc:Fallback/>
      </mc:AlternateContent>
    </comment>
    <comment ref="K6" authorId="0">
      <text>
        <r>
          <rPr>
            <sz val="8"/>
            <color rgb="FF000000"/>
            <rFont val="Tahoma"/>
            <family val="2"/>
          </rPr>
          <t xml:space="preserve">Classes de niveau trophique de l'eau (dénomination et couleur) en référence à AFNOR T90-395.</t>
        </r>
      </text>
      <mc:AlternateContent>
        <mc:Choice Requires="v2">
          <commentPr autoFill="true" autoScale="false" colHidden="false" locked="false" rowHidden="false" textHAlign="justify" textVAlign="top">
            <anchor moveWithCells="false" sizeWithCells="false">
              <xdr:from>
                <xdr:col>11</xdr:col>
                <xdr:colOff>9</xdr:colOff>
                <xdr:row>4</xdr:row>
                <xdr:rowOff>8</xdr:rowOff>
              </xdr:from>
              <xdr:to>
                <xdr:col>21</xdr:col>
                <xdr:colOff>0</xdr:colOff>
                <xdr:row>6</xdr:row>
                <xdr:rowOff>4</xdr:rowOff>
              </xdr:to>
            </anchor>
          </commentPr>
        </mc:Choice>
        <mc:Fallback/>
      </mc:AlternateContent>
    </comment>
    <comment ref="K22" authorId="0">
      <text>
        <r>
          <rPr>
            <b val="true"/>
            <sz val="8"/>
            <color rgb="FF808080"/>
            <rFont val="Tahoma"/>
            <family val="2"/>
          </rPr>
          <t xml:space="preserve">En gris</t>
        </r>
        <r>
          <rPr>
            <sz val="8"/>
            <color rgb="FF000000"/>
            <rFont val="Tahoma"/>
            <family val="2"/>
          </rPr>
          <t xml:space="preserve"> : taxon non pris en compte dans le calcul de l'IBMR,
</t>
        </r>
        <r>
          <rPr>
            <b val="true"/>
            <sz val="8"/>
            <color rgb="FF339966"/>
            <rFont val="Tahoma"/>
            <family val="2"/>
          </rPr>
          <t xml:space="preserve">En vert</t>
        </r>
        <r>
          <rPr>
            <sz val="8"/>
            <color rgb="FF000000"/>
            <rFont val="Tahoma"/>
            <family val="2"/>
          </rPr>
          <t xml:space="preserve"> : taxon non répertorié dans la liste des taxa aquatiques potentiellement rencontrés,
</t>
        </r>
        <r>
          <rPr>
            <b val="true"/>
            <sz val="8"/>
            <color rgb="FF000000"/>
            <rFont val="Tahoma"/>
            <family val="2"/>
          </rPr>
          <t xml:space="preserve">En noir</t>
        </r>
        <r>
          <rPr>
            <sz val="8"/>
            <color rgb="FF000000"/>
            <rFont val="Tahoma"/>
            <family val="2"/>
          </rPr>
          <t xml:space="preserve"> : taxon pris en compte dans le calcul.</t>
        </r>
      </text>
      <mc:AlternateContent>
        <mc:Choice Requires="v2">
          <commentPr autoFill="true" autoScale="false" colHidden="false" locked="false" rowHidden="false" textHAlign="justify" textVAlign="top">
            <anchor moveWithCells="false" sizeWithCells="false">
              <xdr:from>
                <xdr:col>21</xdr:col>
                <xdr:colOff>16</xdr:colOff>
                <xdr:row>20</xdr:row>
                <xdr:rowOff>6</xdr:rowOff>
              </xdr:from>
              <xdr:to>
                <xdr:col>22</xdr:col>
                <xdr:colOff>90</xdr:colOff>
                <xdr:row>26</xdr:row>
                <xdr:rowOff>11</xdr:rowOff>
              </xdr:to>
            </anchor>
          </commentPr>
        </mc:Choice>
        <mc:Fallback/>
      </mc:AlternateContent>
    </comment>
    <comment ref="M3" authorId="0">
      <text>
        <r>
          <rPr>
            <sz val="8"/>
            <color rgb="FF000000"/>
            <rFont val="Tahoma"/>
            <family val="2"/>
          </rPr>
          <t xml:space="preserve">Référence de l'étude</t>
        </r>
      </text>
      <mc:AlternateContent>
        <mc:Choice Requires="v2">
          <commentPr autoFill="true" autoScale="false" colHidden="false" locked="false" rowHidden="false" textHAlign="justify" textVAlign="top">
            <anchor moveWithCells="false" sizeWithCells="false">
              <xdr:from>
                <xdr:col>13</xdr:col>
                <xdr:colOff>16</xdr:colOff>
                <xdr:row>1</xdr:row>
                <xdr:rowOff>6</xdr:rowOff>
              </xdr:from>
              <xdr:to>
                <xdr:col>21</xdr:col>
                <xdr:colOff>0</xdr:colOff>
                <xdr:row>2</xdr:row>
                <xdr:rowOff>7</xdr:rowOff>
              </xdr:to>
            </anchor>
          </commentPr>
        </mc:Choice>
        <mc:Fallback/>
      </mc:AlternateContent>
    </comment>
    <comment ref="N5" authorId="0">
      <text>
        <r>
          <rPr>
            <sz val="8"/>
            <color rgb="FF000000"/>
            <rFont val="Tahoma"/>
            <family val="2"/>
          </rPr>
          <t xml:space="preserve">Nom du taxon (ayant le plus grand Csi*Ki) supprimé pour le calcul de la robustesse. </t>
        </r>
      </text>
      <mc:AlternateContent>
        <mc:Choice Requires="v2">
          <commentPr autoFill="true" autoScale="false" colHidden="false" locked="false" rowHidden="false" textHAlign="justify" textVAlign="top">
            <anchor moveWithCells="false" sizeWithCells="false">
              <xdr:from>
                <xdr:col>14</xdr:col>
                <xdr:colOff>0</xdr:colOff>
                <xdr:row>1</xdr:row>
                <xdr:rowOff>15</xdr:rowOff>
              </xdr:from>
              <xdr:to>
                <xdr:col>21</xdr:col>
                <xdr:colOff>0</xdr:colOff>
                <xdr:row>5</xdr:row>
                <xdr:rowOff>11</xdr:rowOff>
              </xdr:to>
            </anchor>
          </commentPr>
        </mc:Choice>
        <mc:Fallback/>
      </mc:AlternateContent>
    </comment>
    <comment ref="V1" authorId="0">
      <text>
        <r>
          <rPr>
            <sz val="8"/>
            <color rgb="FF000000"/>
            <rFont val="Tahoma"/>
            <family val="2"/>
          </rPr>
          <t xml:space="preserve">Crée une nouvelle feuille de saisie-calcul dans le même classeur. Ne pas oublier de </t>
        </r>
        <r>
          <rPr>
            <b val="true"/>
            <sz val="8"/>
            <color rgb="FF000000"/>
            <rFont val="Tahoma"/>
            <family val="2"/>
          </rPr>
          <t xml:space="preserve">la renommer dès sa création</t>
        </r>
        <r>
          <rPr>
            <sz val="8"/>
            <color rgb="FF000000"/>
            <rFont val="Tahoma"/>
            <family val="2"/>
          </rPr>
          <t xml:space="preserve"> !</t>
        </r>
      </text>
      <mc:AlternateContent>
        <mc:Choice Requires="v2">
          <commentPr autoFill="true" autoScale="false" colHidden="false" locked="false" rowHidden="false" textHAlign="justify" textVAlign="top">
            <anchor moveWithCells="false" sizeWithCells="false">
              <xdr:from>
                <xdr:col>22</xdr:col>
                <xdr:colOff>0</xdr:colOff>
                <xdr:row>0</xdr:row>
                <xdr:rowOff>2</xdr:rowOff>
              </xdr:from>
              <xdr:to>
                <xdr:col>25</xdr:col>
                <xdr:colOff>0</xdr:colOff>
                <xdr:row>3</xdr:row>
                <xdr:rowOff>11</xdr:rowOff>
              </xdr:to>
            </anchor>
          </commentPr>
        </mc:Choice>
        <mc:Fallback/>
      </mc:AlternateContent>
    </comment>
    <comment ref="V2" authorId="0">
      <text>
        <r>
          <rPr>
            <b val="true"/>
            <sz val="8"/>
            <color rgb="FF000000"/>
            <rFont val="Tahoma"/>
            <family val="2"/>
          </rPr>
          <t xml:space="preserve">Récapitulatif :
</t>
        </r>
        <r>
          <rPr>
            <sz val="8"/>
            <color rgb="FF000000"/>
            <rFont val="Tahoma"/>
            <family val="2"/>
          </rPr>
          <t xml:space="preserve">Exporte un récapitulatif des résultats en 1 ligne (pour reprise en graphique ou édition)</t>
        </r>
      </text>
      <mc:AlternateContent>
        <mc:Choice Requires="v2">
          <commentPr autoFill="true" autoScale="false" colHidden="false" locked="false" rowHidden="false" textHAlign="justify" textVAlign="top">
            <anchor moveWithCells="false" sizeWithCells="false">
              <xdr:from>
                <xdr:col>22</xdr:col>
                <xdr:colOff>0</xdr:colOff>
                <xdr:row>0</xdr:row>
                <xdr:rowOff>7</xdr:rowOff>
              </xdr:from>
              <xdr:to>
                <xdr:col>25</xdr:col>
                <xdr:colOff>0</xdr:colOff>
                <xdr:row>4</xdr:row>
                <xdr:rowOff>1</xdr:rowOff>
              </xdr:to>
            </anchor>
          </commentPr>
        </mc:Choice>
        <mc:Fallback/>
      </mc:AlternateContent>
    </comment>
    <comment ref="V4" authorId="0">
      <text>
        <r>
          <rPr>
            <sz val="8"/>
            <color rgb="FF000000"/>
            <rFont val="Tahoma"/>
            <family val="2"/>
          </rPr>
          <t xml:space="preserve"> </t>
        </r>
        <r>
          <rPr>
            <b val="true"/>
            <sz val="8"/>
            <color rgb="FF000000"/>
            <rFont val="Tahoma"/>
            <family val="2"/>
          </rPr>
          <t xml:space="preserve">ARCHIVAGE des données : 
</t>
        </r>
        <r>
          <rPr>
            <sz val="8"/>
            <color rgb="FF000000"/>
            <rFont val="Tahoma"/>
            <family val="2"/>
          </rPr>
          <t xml:space="preserve">Cette fonction crée un nouveau classeur d'archivage de la feuille active.
</t>
        </r>
        <r>
          <rPr>
            <sz val="8"/>
            <color rgb="FFFF0000"/>
            <rFont val="Tahoma"/>
            <family val="2"/>
          </rPr>
          <t xml:space="preserve">Attention !</t>
        </r>
        <r>
          <rPr>
            <i val="true"/>
            <sz val="8"/>
            <color rgb="FF000000"/>
            <rFont val="Tahoma"/>
            <family val="2"/>
          </rPr>
          <t xml:space="preserve"> Une feuille archivée ne peut plus être mise à jour ou modifiée en liaison automatique avec la liste floristique de référence !!!</t>
        </r>
      </text>
      <mc:AlternateContent>
        <mc:Choice Requires="v2">
          <commentPr autoFill="true" autoScale="false" colHidden="false" locked="false" rowHidden="false" textHAlign="justify" textVAlign="top">
            <anchor moveWithCells="false" sizeWithCells="false">
              <xdr:from>
                <xdr:col>22</xdr:col>
                <xdr:colOff>0</xdr:colOff>
                <xdr:row>1</xdr:row>
                <xdr:rowOff>6</xdr:rowOff>
              </xdr:from>
              <xdr:to>
                <xdr:col>25</xdr:col>
                <xdr:colOff>0</xdr:colOff>
                <xdr:row>7</xdr:row>
                <xdr:rowOff>8</xdr:rowOff>
              </xdr:to>
            </anchor>
          </commentPr>
        </mc:Choice>
        <mc:Fallback/>
      </mc:AlternateContent>
    </comment>
    <comment ref="V6" authorId="0">
      <text>
        <r>
          <rPr>
            <b val="true"/>
            <sz val="8"/>
            <color rgb="FF000000"/>
            <rFont val="Tahoma"/>
            <family val="2"/>
          </rPr>
          <t xml:space="preserve">Affichage</t>
        </r>
        <r>
          <rPr>
            <sz val="8"/>
            <color rgb="FF000000"/>
            <rFont val="Tahoma"/>
            <family val="2"/>
          </rPr>
          <t xml:space="preserve"> de la notice et de la liste des taxa (de référence et potentiellement rencontrés en France).</t>
        </r>
      </text>
      <mc:AlternateContent>
        <mc:Choice Requires="v2">
          <commentPr autoFill="true" autoScale="false" colHidden="false" locked="false" rowHidden="false" textHAlign="justify" textVAlign="top">
            <anchor moveWithCells="false" sizeWithCells="false">
              <xdr:from>
                <xdr:col>22</xdr:col>
                <xdr:colOff>0</xdr:colOff>
                <xdr:row>4</xdr:row>
                <xdr:rowOff>8</xdr:rowOff>
              </xdr:from>
              <xdr:to>
                <xdr:col>25</xdr:col>
                <xdr:colOff>0</xdr:colOff>
                <xdr:row>7</xdr:row>
                <xdr:rowOff>17</xdr:rowOff>
              </xdr:to>
            </anchor>
          </commentPr>
        </mc:Choice>
        <mc:Fallback/>
      </mc:AlternateContent>
    </comment>
    <comment ref="W5" authorId="0">
      <text>
        <r>
          <rPr>
            <b val="true"/>
            <sz val="8"/>
            <color rgb="FF000000"/>
            <rFont val="Tahoma"/>
            <family val="2"/>
          </rPr>
          <t xml:space="preserve">Classement des taxons :
</t>
        </r>
        <r>
          <rPr>
            <sz val="8"/>
            <color rgb="FF000000"/>
            <rFont val="Tahoma"/>
            <family val="2"/>
          </rPr>
          <t xml:space="preserve">- par ordre alphabétique (noms),
-  par groupes floristiques,
- suivant l'ordre croissant des côtes spécifiques (CSi) ou des coefficients de sténoécie (Ei).</t>
        </r>
      </text>
      <mc:AlternateContent>
        <mc:Choice Requires="v2">
          <commentPr autoFill="true" autoScale="false" colHidden="false" locked="false" rowHidden="false" textHAlign="justify" textVAlign="top">
            <anchor moveWithCells="false" sizeWithCells="false">
              <xdr:from>
                <xdr:col>25</xdr:col>
                <xdr:colOff>20</xdr:colOff>
                <xdr:row>1</xdr:row>
                <xdr:rowOff>11</xdr:rowOff>
              </xdr:from>
              <xdr:to>
                <xdr:col>29</xdr:col>
                <xdr:colOff>34</xdr:colOff>
                <xdr:row>7</xdr:row>
                <xdr:rowOff>1</xdr:rowOff>
              </xdr:to>
            </anchor>
          </commentPr>
        </mc:Choice>
        <mc:Fallback/>
      </mc:AlternateContent>
    </comment>
    <comment ref="Z22" authorId="0">
      <text>
        <r>
          <rPr>
            <sz val="8"/>
            <color rgb="FF000000"/>
            <rFont val="Tahoma"/>
            <family val="0"/>
          </rPr>
          <t xml:space="preserve">Sélectionner Cf. si le taxon observé fait seulement référence à celui choisi.
</t>
        </r>
      </text>
      <mc:AlternateContent>
        <mc:Choice Requires="v2">
          <commentPr autoFill="true" autoScale="false" colHidden="false" locked="false" rowHidden="false" textHAlign="justify" textVAlign="top">
            <anchor moveWithCells="false" sizeWithCells="false">
              <xdr:from>
                <xdr:col>26</xdr:col>
                <xdr:colOff>16</xdr:colOff>
                <xdr:row>20</xdr:row>
                <xdr:rowOff>6</xdr:rowOff>
              </xdr:from>
              <xdr:to>
                <xdr:col>27</xdr:col>
                <xdr:colOff>-95</xdr:colOff>
                <xdr:row>23</xdr:row>
                <xdr:rowOff>9</xdr:rowOff>
              </xdr:to>
            </anchor>
          </commentPr>
        </mc:Choice>
        <mc:Fallback/>
      </mc:AlternateContent>
    </comment>
    <comment ref="AA22" authorId="0">
      <text>
        <r>
          <rPr>
            <sz val="8"/>
            <color rgb="FF000000"/>
            <rFont val="Tahoma"/>
            <family val="2"/>
          </rPr>
          <t xml:space="preserve">Après avoir saisi NEW.COD dans la 1ère colonne "CODES", saisir ici les noms des taxa non retrouvés dans la "liste référence".</t>
        </r>
      </text>
      <mc:AlternateContent>
        <mc:Choice Requires="v2">
          <commentPr autoFill="true" autoScale="false" colHidden="false" locked="false" rowHidden="false" textHAlign="justify" textVAlign="top">
            <anchor moveWithCells="false" sizeWithCells="false">
              <xdr:from>
                <xdr:col>26</xdr:col>
                <xdr:colOff>173</xdr:colOff>
                <xdr:row>14</xdr:row>
                <xdr:rowOff>1</xdr:rowOff>
              </xdr:from>
              <xdr:to>
                <xdr:col>28</xdr:col>
                <xdr:colOff>51</xdr:colOff>
                <xdr:row>17</xdr:row>
                <xdr:rowOff>11</xdr:rowOff>
              </xdr:to>
            </anchor>
          </commentPr>
        </mc:Choice>
        <mc:Fallback/>
      </mc:AlternateContent>
    </comment>
  </commentList>
</comments>
</file>

<file path=xl/sharedStrings.xml><?xml version="1.0" encoding="utf-8"?>
<sst xmlns="http://schemas.openxmlformats.org/spreadsheetml/2006/main" count="96" uniqueCount="91">
  <si>
    <t xml:space="preserve">Relevés floristiques aquatiques - IBMR</t>
  </si>
  <si>
    <t xml:space="preserve">GIS Macrophytes - juillet 2006</t>
  </si>
  <si>
    <t xml:space="preserve">CARICAIE</t>
  </si>
  <si>
    <t xml:space="preserve">conforme AFNOR T90-395 oct. 2003</t>
  </si>
  <si>
    <t xml:space="preserve">TOULOURENC</t>
  </si>
  <si>
    <t xml:space="preserve">ST LEGER DU VENTOUX</t>
  </si>
  <si>
    <t xml:space="preserve">06710039</t>
  </si>
  <si>
    <t xml:space="preserve">Résultats</t>
  </si>
  <si>
    <t xml:space="preserve">Robustesse:</t>
  </si>
  <si>
    <t xml:space="preserve">F. courant</t>
  </si>
  <si>
    <t xml:space="preserve">F. lent</t>
  </si>
  <si>
    <t xml:space="preserve">station</t>
  </si>
  <si>
    <t xml:space="preserve">IBMR:</t>
  </si>
  <si>
    <t xml:space="preserve">BAT.SPX</t>
  </si>
  <si>
    <t xml:space="preserve">Type de faciès</t>
  </si>
  <si>
    <t xml:space="preserve">radier</t>
  </si>
  <si>
    <t xml:space="preserve">pl. lent</t>
  </si>
  <si>
    <t xml:space="preserve">niv. trophique:</t>
  </si>
  <si>
    <t xml:space="preserve">moyen</t>
  </si>
  <si>
    <t xml:space="preserve">(moyen)</t>
  </si>
  <si>
    <t xml:space="preserve">% faciès / station</t>
  </si>
  <si>
    <t xml:space="preserve">cote sp.</t>
  </si>
  <si>
    <t xml:space="preserve">coef stén.</t>
  </si>
  <si>
    <t xml:space="preserve">VEGETALISATION</t>
  </si>
  <si>
    <t xml:space="preserve">tot. pondéré</t>
  </si>
  <si>
    <t xml:space="preserve">moyenne</t>
  </si>
  <si>
    <t xml:space="preserve">% surf. vég.Totale</t>
  </si>
  <si>
    <t xml:space="preserve">écart-type</t>
  </si>
  <si>
    <t xml:space="preserve">% périphyton</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</si>
  <si>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</si>
  <si>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</si>
  <si>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</si>
  <si>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</si>
  <si>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</si>
  <si>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</si>
  <si>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</si>
  <si>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</si>
  <si>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</si>
  <si>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</si>
  <si>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</si>
  <si>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</si>
  <si>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</si>
  <si>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</si>
  <si>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</si>
  <si>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</si>
  <si>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</si>
  <si>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</si>
  <si>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</si>
  <si>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sténo. 3</t>
  </si>
  <si>
    <t xml:space="preserve">% hélophytes</t>
  </si>
  <si>
    <t xml:space="preserve">Cal. Écart</t>
  </si>
  <si>
    <r>
      <rPr>
        <b val="true"/>
        <sz val="10"/>
        <rFont val="Arial"/>
        <family val="2"/>
      </rPr>
      <t xml:space="preserve">LISTE     </t>
    </r>
    <r>
      <rPr>
        <i val="true"/>
        <sz val="10"/>
        <rFont val="Arial"/>
        <family val="2"/>
      </rPr>
      <t xml:space="preserve">rec / faciès</t>
    </r>
  </si>
  <si>
    <t xml:space="preserve">Détail du calcul IBMR (non imprimable, non exporté)</t>
  </si>
  <si>
    <t xml:space="preserve">rec. pondéré</t>
  </si>
  <si>
    <t xml:space="preserve">voir aussi colonne BB</t>
  </si>
  <si>
    <t xml:space="preserve">CODES</t>
  </si>
  <si>
    <t xml:space="preserve">%</t>
  </si>
  <si>
    <t xml:space="preserve">% sta.</t>
  </si>
  <si>
    <t xml:space="preserve">grp</t>
  </si>
  <si>
    <t xml:space="preserve">Csi</t>
  </si>
  <si>
    <t xml:space="preserve">Ei</t>
  </si>
  <si>
    <t xml:space="preserve">    noms</t>
  </si>
  <si>
    <t xml:space="preserve">r. station</t>
  </si>
  <si>
    <t xml:space="preserve">cl. rec.</t>
  </si>
  <si>
    <t xml:space="preserve">KixCsi</t>
  </si>
  <si>
    <t xml:space="preserve">Ei x Ki x Csi</t>
  </si>
  <si>
    <t xml:space="preserve">Ei x Ki</t>
  </si>
  <si>
    <t xml:space="preserve">vérif rec</t>
  </si>
  <si>
    <t xml:space="preserve">code taxa</t>
  </si>
  <si>
    <t xml:space="preserve">index ligne</t>
  </si>
  <si>
    <t xml:space="preserve">Confer</t>
  </si>
  <si>
    <t xml:space="preserve">Nouveaux taxa hors liste de référence</t>
  </si>
  <si>
    <t xml:space="preserve">CHE.SPX</t>
  </si>
  <si>
    <t xml:space="preserve">LYN.SPX</t>
  </si>
  <si>
    <t xml:space="preserve">OSC.SPX</t>
  </si>
  <si>
    <t xml:space="preserve">RHI.SPX</t>
  </si>
  <si>
    <t xml:space="preserve">SPI.SPX</t>
  </si>
  <si>
    <t xml:space="preserve">PEL.END</t>
  </si>
  <si>
    <t xml:space="preserve">AMB.TEN</t>
  </si>
  <si>
    <t xml:space="preserve">ORT.RIV</t>
  </si>
  <si>
    <t xml:space="preserve">EQU.FLU</t>
  </si>
  <si>
    <t xml:space="preserve">PHA.ARU</t>
  </si>
  <si>
    <t xml:space="preserve">Ligne de préparation à l'exportation du récapitulatif des résultats. Non imprimable</t>
  </si>
  <si>
    <t xml:space="preserve">ROBUSTESSE</t>
  </si>
  <si>
    <t xml:space="preserve">rech. Max KixCsi</t>
  </si>
  <si>
    <t xml:space="preserve">rech. max EixKixCSi</t>
  </si>
  <si>
    <t xml:space="preserve">rech. max EixKi</t>
  </si>
  <si>
    <t xml:space="preserve">new IBMR</t>
  </si>
  <si>
    <t xml:space="preserve">code taxon à supp.</t>
  </si>
  <si>
    <t xml:space="preserve">index ligne corresp.</t>
  </si>
  <si>
    <t xml:space="preserve">taxon supp.</t>
  </si>
</sst>
</file>

<file path=xl/styles.xml><?xml version="1.0" encoding="utf-8"?>
<styleSheet xmlns="http://schemas.openxmlformats.org/spreadsheetml/2006/main">
  <numFmts count="9">
    <numFmt numFmtId="164" formatCode="General"/>
    <numFmt numFmtId="165" formatCode="@"/>
    <numFmt numFmtId="166" formatCode="[$-40C]dd\-mmm\-yy"/>
    <numFmt numFmtId="167" formatCode="0.00"/>
    <numFmt numFmtId="168" formatCode="General"/>
    <numFmt numFmtId="169" formatCode="_-* #,##0.00\ _F_-;\-* #,##0.00\ _F_-;_-* \-??\ _F_-;_-@_-"/>
    <numFmt numFmtId="170" formatCode="0.0"/>
    <numFmt numFmtId="171" formatCode="_-* #,##0\ _F_-;\-* #,##0\ _F_-;_-* &quot;- &quot;_F_-;_-@_-"/>
    <numFmt numFmtId="172" formatCode="0"/>
  </numFmts>
  <fonts count="39">
    <font>
      <sz val="10"/>
      <name val="Arial"/>
      <family val="0"/>
    </font>
    <font>
      <sz val="10"/>
      <name val="Arial"/>
      <family val="0"/>
    </font>
    <font>
      <sz val="10"/>
      <name val="Arial"/>
      <family val="0"/>
    </font>
    <font>
      <sz val="10"/>
      <name val="Arial"/>
      <family val="0"/>
    </font>
    <font>
      <b val="true"/>
      <i val="true"/>
      <sz val="11"/>
      <color rgb="FFFFFFFF"/>
      <name val="Arial"/>
      <family val="2"/>
    </font>
    <font>
      <b val="true"/>
      <sz val="11"/>
      <color rgb="FFFFFFFF"/>
      <name val="Arial"/>
      <family val="2"/>
    </font>
    <font>
      <i val="true"/>
      <sz val="8"/>
      <color rgb="FFFFFFFF"/>
      <name val="Arial"/>
      <family val="2"/>
    </font>
    <font>
      <sz val="8"/>
      <color rgb="FF0000FF"/>
      <name val="Arial"/>
      <family val="2"/>
    </font>
    <font>
      <b val="true"/>
      <sz val="10"/>
      <name val="Arial"/>
      <family val="2"/>
    </font>
    <font>
      <i val="true"/>
      <sz val="8"/>
      <name val="Arial"/>
      <family val="2"/>
    </font>
    <font>
      <b val="true"/>
      <sz val="8"/>
      <name val="Arial"/>
      <family val="2"/>
    </font>
    <font>
      <b val="true"/>
      <i val="true"/>
      <sz val="10"/>
      <color rgb="FF808080"/>
      <name val="Arial"/>
      <family val="2"/>
    </font>
    <font>
      <b val="true"/>
      <i val="true"/>
      <sz val="10"/>
      <name val="Arial"/>
      <family val="2"/>
    </font>
    <font>
      <sz val="10"/>
      <name val="Arial"/>
      <family val="2"/>
    </font>
    <font>
      <b val="true"/>
      <i val="true"/>
      <sz val="11"/>
      <name val="Arial"/>
      <family val="2"/>
    </font>
    <font>
      <b val="true"/>
      <sz val="11"/>
      <name val="Arial"/>
      <family val="2"/>
    </font>
    <font>
      <i val="true"/>
      <sz val="10"/>
      <name val="Arial"/>
      <family val="2"/>
    </font>
    <font>
      <b val="true"/>
      <sz val="10"/>
      <color rgb="FF000000"/>
      <name val="Arial"/>
      <family val="2"/>
    </font>
    <font>
      <b val="true"/>
      <i val="true"/>
      <sz val="10"/>
      <color rgb="FF000000"/>
      <name val="Arial"/>
      <family val="2"/>
    </font>
    <font>
      <b val="true"/>
      <i val="true"/>
      <sz val="12"/>
      <color rgb="FFFFFFFF"/>
      <name val="Arial"/>
      <family val="2"/>
    </font>
    <font>
      <b val="true"/>
      <sz val="9"/>
      <name val="Arial"/>
      <family val="2"/>
    </font>
    <font>
      <b val="true"/>
      <i val="true"/>
      <sz val="9"/>
      <name val="Arial"/>
      <family val="2"/>
    </font>
    <font>
      <i val="true"/>
      <sz val="9"/>
      <name val="Arial"/>
      <family val="2"/>
    </font>
    <font>
      <sz val="9"/>
      <name val="Arial"/>
      <family val="2"/>
    </font>
    <font>
      <i val="true"/>
      <sz val="10"/>
      <color rgb="FF000000"/>
      <name val="Arial"/>
      <family val="2"/>
    </font>
    <font>
      <sz val="8"/>
      <name val="Arial"/>
      <family val="2"/>
    </font>
    <font>
      <b val="true"/>
      <i val="true"/>
      <sz val="10"/>
      <color rgb="FFFF0000"/>
      <name val="Arial"/>
      <family val="2"/>
    </font>
    <font>
      <sz val="10"/>
      <color rgb="FFFF0000"/>
      <name val="Arial"/>
      <family val="2"/>
    </font>
    <font>
      <sz val="10"/>
      <color rgb="FF000000"/>
      <name val="Arial"/>
      <family val="2"/>
    </font>
    <font>
      <b val="true"/>
      <sz val="10"/>
      <color rgb="FFFF0000"/>
      <name val="Arial"/>
      <family val="2"/>
    </font>
    <font>
      <sz val="7"/>
      <name val="Arial"/>
      <family val="2"/>
    </font>
    <font>
      <sz val="8"/>
      <color rgb="FF000000"/>
      <name val="Tahoma"/>
      <family val="2"/>
    </font>
    <font>
      <b val="true"/>
      <sz val="8"/>
      <color rgb="FF000000"/>
      <name val="Tahoma"/>
      <family val="0"/>
    </font>
    <font>
      <i val="true"/>
      <sz val="8"/>
      <color rgb="FF000000"/>
      <name val="Tahoma"/>
      <family val="2"/>
    </font>
    <font>
      <sz val="8"/>
      <color rgb="FF000000"/>
      <name val="Tahoma"/>
      <family val="0"/>
    </font>
    <font>
      <b val="true"/>
      <sz val="8"/>
      <color rgb="FF808080"/>
      <name val="Tahoma"/>
      <family val="2"/>
    </font>
    <font>
      <b val="true"/>
      <sz val="8"/>
      <color rgb="FF339966"/>
      <name val="Tahoma"/>
      <family val="2"/>
    </font>
    <font>
      <b val="true"/>
      <sz val="8"/>
      <color rgb="FF000000"/>
      <name val="Tahoma"/>
      <family val="2"/>
    </font>
    <font>
      <sz val="8"/>
      <color rgb="FFFF0000"/>
      <name val="Tahoma"/>
      <family val="2"/>
    </font>
  </fonts>
  <fills count="10">
    <fill>
      <patternFill patternType="none"/>
    </fill>
    <fill>
      <patternFill patternType="gray125"/>
    </fill>
    <fill>
      <patternFill patternType="solid">
        <fgColor rgb="FF0000FF"/>
        <bgColor rgb="FF0000FF"/>
      </patternFill>
    </fill>
    <fill>
      <patternFill patternType="solid">
        <fgColor rgb="FFFF0000"/>
        <bgColor rgb="FF993300"/>
      </patternFill>
    </fill>
    <fill>
      <patternFill patternType="solid">
        <fgColor rgb="FFFF9900"/>
        <bgColor rgb="FFFFCC00"/>
      </patternFill>
    </fill>
    <fill>
      <patternFill patternType="solid">
        <fgColor rgb="FFCCFFFF"/>
        <bgColor rgb="FFCCFFFF"/>
      </patternFill>
    </fill>
    <fill>
      <patternFill patternType="solid">
        <fgColor rgb="FFC0C0C0"/>
        <bgColor rgb="FFCCCCFF"/>
      </patternFill>
    </fill>
    <fill>
      <patternFill patternType="solid">
        <fgColor rgb="FFCCFFCC"/>
        <bgColor rgb="FFCCFFFF"/>
      </patternFill>
    </fill>
    <fill>
      <patternFill patternType="solid">
        <fgColor rgb="FFFFFF99"/>
        <bgColor rgb="FFFFFFCC"/>
      </patternFill>
    </fill>
    <fill>
      <patternFill patternType="solid">
        <fgColor rgb="FFFFFF00"/>
        <bgColor rgb="FFFFFF00"/>
      </patternFill>
    </fill>
  </fills>
  <borders count="75">
    <border diagonalUp="false" diagonalDown="false">
      <left/>
      <right/>
      <top/>
      <bottom/>
      <diagonal/>
    </border>
    <border diagonalUp="false" diagonalDown="false">
      <left style="thin"/>
      <right/>
      <top style="thin"/>
      <bottom style="thin"/>
      <diagonal/>
    </border>
    <border diagonalUp="false" diagonalDown="false">
      <left/>
      <right/>
      <top style="thin"/>
      <bottom style="thin"/>
      <diagonal/>
    </border>
    <border diagonalUp="false" diagonalDown="false">
      <left/>
      <right style="thin"/>
      <top style="thin"/>
      <bottom style="thin"/>
      <diagonal/>
    </border>
    <border diagonalUp="false" diagonalDown="false">
      <left style="thick">
        <color rgb="FFC0C0C0"/>
      </left>
      <right/>
      <top style="thick">
        <color rgb="FFC0C0C0"/>
      </top>
      <bottom/>
      <diagonal/>
    </border>
    <border diagonalUp="false" diagonalDown="false">
      <left/>
      <right style="thick">
        <color rgb="FFC0C0C0"/>
      </right>
      <top style="thick">
        <color rgb="FFC0C0C0"/>
      </top>
      <bottom/>
      <diagonal/>
    </border>
    <border diagonalUp="false" diagonalDown="false">
      <left style="thick">
        <color rgb="FFC0C0C0"/>
      </left>
      <right/>
      <top/>
      <bottom/>
      <diagonal/>
    </border>
    <border diagonalUp="false" diagonalDown="false">
      <left/>
      <right style="thick">
        <color rgb="FFC0C0C0"/>
      </right>
      <top/>
      <bottom/>
      <diagonal/>
    </border>
    <border diagonalUp="false" diagonalDown="false">
      <left/>
      <right/>
      <top style="thin"/>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right style="thin"/>
      <top style="thin"/>
      <bottom style="medium">
        <color rgb="FFFF0000"/>
      </bottom>
      <diagonal/>
    </border>
    <border diagonalUp="false" diagonalDown="false">
      <left style="thin"/>
      <right style="thin"/>
      <top style="thin"/>
      <bottom style="thin"/>
      <diagonal/>
    </border>
    <border diagonalUp="false" diagonalDown="false">
      <left/>
      <right/>
      <top/>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right style="medium">
        <color rgb="FFFF0000"/>
      </right>
      <top style="medium">
        <color rgb="FFFF0000"/>
      </top>
      <bottom/>
      <diagonal/>
    </border>
    <border diagonalUp="false" diagonalDown="false">
      <left style="thin"/>
      <right style="medium"/>
      <top style="thin"/>
      <bottom style="thin"/>
      <diagonal/>
    </border>
    <border diagonalUp="false" diagonalDown="false">
      <left style="medium"/>
      <right style="thin"/>
      <top/>
      <bottom style="thin"/>
      <diagonal/>
    </border>
    <border diagonalUp="false" diagonalDown="false">
      <left style="thin"/>
      <right style="thin"/>
      <top/>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thin">
        <color rgb="FFFF0000"/>
      </bottom>
      <diagonal/>
    </border>
    <border diagonalUp="false" diagonalDown="false">
      <left/>
      <right style="double">
        <color rgb="FFFF0000"/>
      </right>
      <top style="medium">
        <color rgb="FFFF0000"/>
      </top>
      <bottom style="thin">
        <color rgb="FFFF0000"/>
      </bottom>
      <diagonal/>
    </border>
    <border diagonalUp="false" diagonalDown="false">
      <left/>
      <right style="medium">
        <color rgb="FFFF0000"/>
      </right>
      <top style="medium">
        <color rgb="FFFF0000"/>
      </top>
      <bottom style="thin">
        <color rgb="FFFF0000"/>
      </bottom>
      <diagonal/>
    </border>
    <border diagonalUp="false" diagonalDown="false">
      <left/>
      <right style="thin"/>
      <top/>
      <bottom style="thin"/>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thin">
        <color rgb="FFFF0000"/>
      </top>
      <bottom style="medium">
        <color rgb="FFFF0000"/>
      </bottom>
      <diagonal/>
    </border>
    <border diagonalUp="false" diagonalDown="false">
      <left/>
      <right style="double">
        <color rgb="FFFF0000"/>
      </right>
      <top/>
      <bottom style="medium">
        <color rgb="FFFF0000"/>
      </bottom>
      <diagonal/>
    </border>
    <border diagonalUp="false" diagonalDown="false">
      <left/>
      <right style="medium">
        <color rgb="FFFF0000"/>
      </right>
      <top style="thin">
        <color rgb="FFFF0000"/>
      </top>
      <bottom style="medium">
        <color rgb="FFFF0000"/>
      </bottom>
      <diagonal/>
    </border>
    <border diagonalUp="false" diagonalDown="false">
      <left style="medium">
        <color rgb="FFFF0000"/>
      </left>
      <right/>
      <top/>
      <bottom/>
      <diagonal/>
    </border>
    <border diagonalUp="false" diagonalDown="false">
      <left style="thin"/>
      <right/>
      <top/>
      <bottom style="thin"/>
      <diagonal/>
    </border>
    <border diagonalUp="false" diagonalDown="false">
      <left/>
      <right style="medium">
        <color rgb="FFFF0000"/>
      </right>
      <top/>
      <bottom style="thin"/>
      <diagonal/>
    </border>
    <border diagonalUp="false" diagonalDown="false">
      <left style="thin"/>
      <right/>
      <top/>
      <bottom/>
      <diagonal/>
    </border>
    <border diagonalUp="false" diagonalDown="false">
      <left/>
      <right style="medium">
        <color rgb="FFFF0000"/>
      </right>
      <top/>
      <bottom/>
      <diagonal/>
    </border>
    <border diagonalUp="false" diagonalDown="false">
      <left/>
      <right style="thin"/>
      <top/>
      <bottom/>
      <diagonal/>
    </border>
    <border diagonalUp="false" diagonalDown="false">
      <left style="thick">
        <color rgb="FFC0C0C0"/>
      </left>
      <right/>
      <top/>
      <bottom style="thick">
        <color rgb="FFC0C0C0"/>
      </bottom>
      <diagonal/>
    </border>
    <border diagonalUp="false" diagonalDown="false">
      <left/>
      <right style="thick">
        <color rgb="FFC0C0C0"/>
      </right>
      <top/>
      <bottom style="thick">
        <color rgb="FFC0C0C0"/>
      </bottom>
      <diagonal/>
    </border>
    <border diagonalUp="false" diagonalDown="false">
      <left style="medium">
        <color rgb="FFFF0000"/>
      </left>
      <right/>
      <top style="thin"/>
      <bottom style="thin"/>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medium">
        <color rgb="FFFF0000"/>
      </left>
      <right/>
      <top style="thin"/>
      <bottom/>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style="thin"/>
      <right style="thin"/>
      <top style="hair"/>
      <bottom style="hair"/>
      <diagonal/>
    </border>
    <border diagonalUp="false" diagonalDown="false">
      <left/>
      <right style="medium">
        <color rgb="FFFF0000"/>
      </right>
      <top style="thin"/>
      <bottom style="thin"/>
      <diagonal/>
    </border>
    <border diagonalUp="false" diagonalDown="false">
      <left style="thin"/>
      <right/>
      <top style="thin"/>
      <bottom/>
      <diagonal/>
    </border>
    <border diagonalUp="false" diagonalDown="false">
      <left/>
      <right style="medium">
        <color rgb="FFFF0000"/>
      </right>
      <top style="thin"/>
      <bottom/>
      <diagonal/>
    </border>
    <border diagonalUp="false" diagonalDown="false">
      <left style="thin"/>
      <right/>
      <top/>
      <bottom style="hair"/>
      <diagonal/>
    </border>
    <border diagonalUp="false" diagonalDown="false">
      <left/>
      <right/>
      <top/>
      <bottom style="hair"/>
      <diagonal/>
    </border>
    <border diagonalUp="false" diagonalDown="false">
      <left/>
      <right style="medium">
        <color rgb="FFFF0000"/>
      </right>
      <top/>
      <bottom style="hair"/>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style="thin"/>
      <right style="thin"/>
      <top style="hair"/>
      <bottom style="thin"/>
      <diagonal/>
    </border>
    <border diagonalUp="false" diagonalDown="false">
      <left/>
      <right style="thin"/>
      <top/>
      <bottom style="medium">
        <color rgb="FFFF0000"/>
      </bottom>
      <diagonal/>
    </border>
    <border diagonalUp="false" diagonalDown="false">
      <left style="thin"/>
      <right/>
      <top/>
      <bottom style="medium">
        <color rgb="FFFF0000"/>
      </bottom>
      <diagonal/>
    </border>
    <border diagonalUp="false" diagonalDown="false">
      <left/>
      <right style="medium">
        <color rgb="FFFF0000"/>
      </right>
      <top/>
      <bottom style="medium">
        <color rgb="FFFF0000"/>
      </bottom>
      <diagonal/>
    </border>
    <border diagonalUp="false" diagonalDown="false">
      <left/>
      <right style="thin"/>
      <top style="medium">
        <color rgb="FFFF0000"/>
      </top>
      <bottom/>
      <diagonal/>
    </border>
    <border diagonalUp="false" diagonalDown="false">
      <left/>
      <right style="thin"/>
      <top style="thin"/>
      <bottom style="hair"/>
      <diagonal/>
    </border>
    <border diagonalUp="false" diagonalDown="false">
      <left/>
      <right style="thin"/>
      <top style="thin"/>
      <bottom/>
      <diagonal/>
    </border>
    <border diagonalUp="false" diagonalDown="false">
      <left style="thin"/>
      <right style="medium"/>
      <top/>
      <bottom style="hair"/>
      <diagonal/>
    </border>
    <border diagonalUp="false" diagonalDown="false">
      <left style="thin"/>
      <right/>
      <top style="thin"/>
      <bottom style="hair"/>
      <diagonal/>
    </border>
    <border diagonalUp="false" diagonalDown="false">
      <left/>
      <right/>
      <top style="thin"/>
      <bottom style="hair"/>
      <diagonal/>
    </border>
    <border diagonalUp="false" diagonalDown="false">
      <left/>
      <right style="thin"/>
      <top style="hair"/>
      <bottom style="hair"/>
      <diagonal/>
    </border>
    <border diagonalUp="false" diagonalDown="false">
      <left style="thin"/>
      <right/>
      <top style="hair"/>
      <bottom style="hair"/>
      <diagonal/>
    </border>
    <border diagonalUp="false" diagonalDown="false">
      <left/>
      <right/>
      <top style="hair"/>
      <bottom style="hair"/>
      <diagonal/>
    </border>
    <border diagonalUp="false" diagonalDown="false">
      <left/>
      <right style="thin"/>
      <top style="hair"/>
      <bottom style="thin"/>
      <diagonal/>
    </border>
    <border diagonalUp="false" diagonalDown="false">
      <left style="thin"/>
      <right/>
      <top style="hair"/>
      <bottom style="thin"/>
      <diagonal/>
    </border>
    <border diagonalUp="false" diagonalDown="false">
      <left/>
      <right/>
      <top style="hair"/>
      <bottom style="thin"/>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258">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0" fillId="0" borderId="0" xfId="0" applyFont="false" applyBorder="false" applyAlignment="false" applyProtection="true">
      <alignment horizontal="general" vertical="bottom" textRotation="0" wrapText="false" indent="0" shrinkToFit="false"/>
      <protection locked="true" hidden="true"/>
    </xf>
    <xf numFmtId="164" fontId="4" fillId="2" borderId="1" xfId="0" applyFont="true" applyBorder="true" applyAlignment="true" applyProtection="true">
      <alignment horizontal="left" vertical="bottom" textRotation="0" wrapText="false" indent="0" shrinkToFit="false"/>
      <protection locked="true" hidden="true"/>
    </xf>
    <xf numFmtId="164" fontId="4" fillId="2" borderId="2" xfId="0" applyFont="true" applyBorder="true" applyAlignment="true" applyProtection="true">
      <alignment horizontal="center" vertical="bottom" textRotation="0" wrapText="false" indent="0" shrinkToFit="false"/>
      <protection locked="true" hidden="true"/>
    </xf>
    <xf numFmtId="164" fontId="4" fillId="3" borderId="2" xfId="0" applyFont="true" applyBorder="true" applyAlignment="true" applyProtection="true">
      <alignment horizontal="center" vertical="bottom" textRotation="0" wrapText="false" indent="0" shrinkToFit="false"/>
      <protection locked="true" hidden="true"/>
    </xf>
    <xf numFmtId="164" fontId="5" fillId="2" borderId="2" xfId="0" applyFont="true" applyBorder="true" applyAlignment="true" applyProtection="true">
      <alignment horizontal="left" vertical="bottom" textRotation="0" wrapText="false" indent="0" shrinkToFit="false"/>
      <protection locked="true" hidden="true"/>
    </xf>
    <xf numFmtId="164" fontId="4" fillId="0" borderId="2" xfId="0" applyFont="true" applyBorder="true" applyAlignment="true" applyProtection="true">
      <alignment horizontal="center" vertical="bottom" textRotation="0" wrapText="false" indent="0" shrinkToFit="false"/>
      <protection locked="false" hidden="false"/>
    </xf>
    <xf numFmtId="164" fontId="6" fillId="2" borderId="3" xfId="0" applyFont="true" applyBorder="true" applyAlignment="true" applyProtection="true">
      <alignment horizontal="right" vertical="bottom" textRotation="0" wrapText="false" indent="0" shrinkToFit="false"/>
      <protection locked="true" hidden="true"/>
    </xf>
    <xf numFmtId="164" fontId="0" fillId="3" borderId="0" xfId="0" applyFont="false" applyBorder="false" applyAlignment="false" applyProtection="true">
      <alignment horizontal="general" vertical="bottom" textRotation="0" wrapText="false" indent="0" shrinkToFit="false"/>
      <protection locked="true" hidden="true"/>
    </xf>
    <xf numFmtId="164" fontId="0" fillId="4" borderId="4" xfId="0" applyFont="false" applyBorder="true" applyAlignment="false" applyProtection="true">
      <alignment horizontal="general" vertical="bottom" textRotation="0" wrapText="false" indent="0" shrinkToFit="false"/>
      <protection locked="true" hidden="true"/>
    </xf>
    <xf numFmtId="164" fontId="7" fillId="4" borderId="5" xfId="0" applyFont="true" applyBorder="true" applyAlignment="true" applyProtection="true">
      <alignment horizontal="center" vertical="center" textRotation="0" wrapText="false" indent="0" shrinkToFit="false"/>
      <protection locked="true" hidden="true"/>
    </xf>
    <xf numFmtId="164" fontId="8" fillId="5" borderId="1" xfId="0" applyFont="true" applyBorder="true" applyAlignment="true" applyProtection="true">
      <alignment horizontal="left" vertical="bottom" textRotation="0" wrapText="false" indent="0" shrinkToFit="false"/>
      <protection locked="false" hidden="false"/>
    </xf>
    <xf numFmtId="164" fontId="8" fillId="5" borderId="3" xfId="0" applyFont="true" applyBorder="true" applyAlignment="true" applyProtection="true">
      <alignment horizontal="left" vertical="bottom" textRotation="0" wrapText="false" indent="0" shrinkToFit="false"/>
      <protection locked="true" hidden="false"/>
    </xf>
    <xf numFmtId="164" fontId="8" fillId="5" borderId="2" xfId="0" applyFont="true" applyBorder="true" applyAlignment="true" applyProtection="true">
      <alignment horizontal="left" vertical="bottom" textRotation="0" wrapText="false" indent="0" shrinkToFit="false"/>
      <protection locked="false" hidden="false"/>
    </xf>
    <xf numFmtId="164" fontId="9" fillId="3" borderId="2" xfId="0" applyFont="true" applyBorder="true" applyAlignment="true" applyProtection="true">
      <alignment horizontal="left" vertical="bottom" textRotation="0" wrapText="false" indent="0" shrinkToFit="false"/>
      <protection locked="false" hidden="false"/>
    </xf>
    <xf numFmtId="164" fontId="10" fillId="5" borderId="2" xfId="0" applyFont="true" applyBorder="true" applyAlignment="true" applyProtection="true">
      <alignment horizontal="left" vertical="bottom" textRotation="0" wrapText="false" indent="0" shrinkToFit="false"/>
      <protection locked="true" hidden="false"/>
    </xf>
    <xf numFmtId="164" fontId="9" fillId="5" borderId="2" xfId="0" applyFont="true" applyBorder="true" applyAlignment="true" applyProtection="true">
      <alignment horizontal="left" vertical="bottom" textRotation="0" wrapText="false" indent="0" shrinkToFit="false"/>
      <protection locked="true" hidden="false"/>
    </xf>
    <xf numFmtId="164" fontId="8" fillId="5" borderId="2" xfId="0" applyFont="true" applyBorder="true" applyAlignment="true" applyProtection="true">
      <alignment horizontal="left" vertical="bottom" textRotation="0" wrapText="false" indent="0" shrinkToFit="false"/>
      <protection locked="true" hidden="false"/>
    </xf>
    <xf numFmtId="164" fontId="10" fillId="2" borderId="2" xfId="0" applyFont="true" applyBorder="true" applyAlignment="true" applyProtection="true">
      <alignment horizontal="left" vertical="bottom" textRotation="0" wrapText="false" indent="0" shrinkToFit="false"/>
      <protection locked="false" hidden="false"/>
    </xf>
    <xf numFmtId="164" fontId="6" fillId="2" borderId="0" xfId="0" applyFont="true" applyBorder="false" applyAlignment="true" applyProtection="true">
      <alignment horizontal="right" vertical="bottom" textRotation="0" wrapText="false" indent="0" shrinkToFit="false"/>
      <protection locked="true" hidden="true"/>
    </xf>
    <xf numFmtId="164" fontId="0" fillId="4" borderId="6" xfId="0" applyFont="false" applyBorder="true" applyAlignment="false" applyProtection="true">
      <alignment horizontal="general" vertical="bottom" textRotation="0" wrapText="false" indent="0" shrinkToFit="false"/>
      <protection locked="true" hidden="true"/>
    </xf>
    <xf numFmtId="164" fontId="0" fillId="4" borderId="7" xfId="0" applyFont="false" applyBorder="true" applyAlignment="false" applyProtection="true">
      <alignment horizontal="general" vertical="bottom" textRotation="0" wrapText="false" indent="0" shrinkToFit="false"/>
      <protection locked="true" hidden="true"/>
    </xf>
    <xf numFmtId="164" fontId="8" fillId="3" borderId="8" xfId="0" applyFont="true" applyBorder="true" applyAlignment="true" applyProtection="true">
      <alignment horizontal="general" vertical="bottom" textRotation="0" wrapText="false" indent="0" shrinkToFit="false"/>
      <protection locked="true" hidden="true"/>
    </xf>
    <xf numFmtId="164" fontId="8" fillId="5" borderId="2" xfId="0" applyFont="true" applyBorder="true" applyAlignment="true" applyProtection="true">
      <alignment horizontal="general" vertical="bottom" textRotation="0" wrapText="false" indent="0" shrinkToFit="false"/>
      <protection locked="true" hidden="true"/>
    </xf>
    <xf numFmtId="164" fontId="8" fillId="5" borderId="8" xfId="0" applyFont="true" applyBorder="true" applyAlignment="true" applyProtection="true">
      <alignment horizontal="general" vertical="bottom" textRotation="0" wrapText="false" indent="0" shrinkToFit="false"/>
      <protection locked="true" hidden="true"/>
    </xf>
    <xf numFmtId="164" fontId="0" fillId="5" borderId="0" xfId="0" applyFont="false" applyBorder="false" applyAlignment="false" applyProtection="true">
      <alignment horizontal="general" vertical="bottom" textRotation="0" wrapText="false" indent="0" shrinkToFit="false"/>
      <protection locked="true" hidden="true"/>
    </xf>
    <xf numFmtId="165" fontId="8" fillId="5" borderId="9" xfId="0" applyFont="true" applyBorder="true" applyAlignment="true" applyProtection="true">
      <alignment horizontal="general" vertical="bottom" textRotation="0" wrapText="false" indent="0" shrinkToFit="false"/>
      <protection locked="false" hidden="false"/>
    </xf>
    <xf numFmtId="164" fontId="8" fillId="5" borderId="0" xfId="0" applyFont="true" applyBorder="false" applyAlignment="false" applyProtection="true">
      <alignment horizontal="general" vertical="bottom" textRotation="0" wrapText="false" indent="0" shrinkToFit="false"/>
      <protection locked="true" hidden="true"/>
    </xf>
    <xf numFmtId="164" fontId="8" fillId="5" borderId="9" xfId="0" applyFont="true" applyBorder="true" applyAlignment="true" applyProtection="true">
      <alignment horizontal="left" vertical="bottom" textRotation="0" wrapText="false" indent="0" shrinkToFit="false"/>
      <protection locked="false" hidden="false"/>
    </xf>
    <xf numFmtId="164" fontId="8" fillId="5" borderId="10" xfId="0" applyFont="true" applyBorder="true" applyAlignment="true" applyProtection="true">
      <alignment horizontal="right" vertical="bottom" textRotation="0" wrapText="false" indent="0" shrinkToFit="false"/>
      <protection locked="true" hidden="true"/>
    </xf>
    <xf numFmtId="164" fontId="8" fillId="5" borderId="11" xfId="0" applyFont="true" applyBorder="true" applyAlignment="true" applyProtection="true">
      <alignment horizontal="right" vertical="bottom" textRotation="0" wrapText="false" indent="0" shrinkToFit="false"/>
      <protection locked="true" hidden="true"/>
    </xf>
    <xf numFmtId="166" fontId="8" fillId="5" borderId="12" xfId="0" applyFont="true" applyBorder="true" applyAlignment="true" applyProtection="true">
      <alignment horizontal="left" vertical="bottom" textRotation="0" wrapText="false" indent="0" shrinkToFit="false"/>
      <protection locked="false" hidden="false"/>
    </xf>
    <xf numFmtId="164" fontId="8" fillId="6" borderId="13" xfId="0" applyFont="true" applyBorder="true" applyAlignment="true" applyProtection="true">
      <alignment horizontal="left" vertical="bottom" textRotation="0" wrapText="false" indent="0" shrinkToFit="false"/>
      <protection locked="true" hidden="true"/>
    </xf>
    <xf numFmtId="164" fontId="8" fillId="6" borderId="13" xfId="0" applyFont="true" applyBorder="true" applyAlignment="false" applyProtection="true">
      <alignment horizontal="general" vertical="bottom" textRotation="0" wrapText="false" indent="0" shrinkToFit="false"/>
      <protection locked="true" hidden="true"/>
    </xf>
    <xf numFmtId="164" fontId="8" fillId="3" borderId="13" xfId="0" applyFont="true" applyBorder="true" applyAlignment="false" applyProtection="true">
      <alignment horizontal="general" vertical="bottom" textRotation="0" wrapText="false" indent="0" shrinkToFit="false"/>
      <protection locked="true" hidden="true"/>
    </xf>
    <xf numFmtId="164" fontId="11" fillId="7" borderId="14" xfId="0" applyFont="true" applyBorder="true" applyAlignment="false" applyProtection="true">
      <alignment horizontal="general" vertical="bottom" textRotation="0" wrapText="false" indent="0" shrinkToFit="false"/>
      <protection locked="true" hidden="true"/>
    </xf>
    <xf numFmtId="164" fontId="0" fillId="7" borderId="15" xfId="0" applyFont="false" applyBorder="true" applyAlignment="false" applyProtection="true">
      <alignment horizontal="general" vertical="bottom" textRotation="0" wrapText="false" indent="0" shrinkToFit="false"/>
      <protection locked="true" hidden="true"/>
    </xf>
    <xf numFmtId="164" fontId="0" fillId="7" borderId="16" xfId="0" applyFont="false" applyBorder="true" applyAlignment="false" applyProtection="true">
      <alignment horizontal="general" vertical="bottom" textRotation="0" wrapText="false" indent="0" shrinkToFit="false"/>
      <protection locked="true" hidden="true"/>
    </xf>
    <xf numFmtId="164" fontId="12" fillId="7" borderId="16" xfId="0" applyFont="true" applyBorder="true" applyAlignment="false" applyProtection="true">
      <alignment horizontal="general" vertical="bottom" textRotation="0" wrapText="false" indent="0" shrinkToFit="false"/>
      <protection locked="true" hidden="true"/>
    </xf>
    <xf numFmtId="164" fontId="0" fillId="7" borderId="17" xfId="0" applyFont="false" applyBorder="true" applyAlignment="false" applyProtection="true">
      <alignment horizontal="general" vertical="bottom" textRotation="0" wrapText="false" indent="0" shrinkToFit="false"/>
      <protection locked="true" hidden="true"/>
    </xf>
    <xf numFmtId="164" fontId="7" fillId="4" borderId="7" xfId="0" applyFont="true" applyBorder="true" applyAlignment="true" applyProtection="true">
      <alignment horizontal="center" vertical="bottom" textRotation="0" wrapText="false" indent="0" shrinkToFit="false"/>
      <protection locked="true" hidden="true"/>
    </xf>
    <xf numFmtId="164" fontId="13" fillId="6" borderId="18" xfId="0" applyFont="true" applyBorder="true" applyAlignment="false" applyProtection="true">
      <alignment horizontal="general" vertical="bottom" textRotation="0" wrapText="false" indent="0" shrinkToFit="false"/>
      <protection locked="true" hidden="true"/>
    </xf>
    <xf numFmtId="164" fontId="8" fillId="8" borderId="19" xfId="0" applyFont="true" applyBorder="true" applyAlignment="true" applyProtection="true">
      <alignment horizontal="center" vertical="bottom" textRotation="0" wrapText="false" indent="0" shrinkToFit="false"/>
      <protection locked="true" hidden="true"/>
    </xf>
    <xf numFmtId="164" fontId="8" fillId="8" borderId="20" xfId="0" applyFont="true" applyBorder="true" applyAlignment="true" applyProtection="true">
      <alignment horizontal="center" vertical="bottom" textRotation="0" wrapText="false" indent="0" shrinkToFit="false"/>
      <protection locked="true" hidden="true"/>
    </xf>
    <xf numFmtId="164" fontId="8" fillId="3" borderId="0" xfId="0" applyFont="true" applyBorder="true" applyAlignment="true" applyProtection="true">
      <alignment horizontal="center" vertical="bottom" textRotation="0" wrapText="false" indent="0" shrinkToFit="false"/>
      <protection locked="true" hidden="true"/>
    </xf>
    <xf numFmtId="164" fontId="8" fillId="8" borderId="0" xfId="0" applyFont="true" applyBorder="true" applyAlignment="true" applyProtection="true">
      <alignment horizontal="center" vertical="bottom" textRotation="0" wrapText="false" indent="0" shrinkToFit="false"/>
      <protection locked="true" hidden="true"/>
    </xf>
    <xf numFmtId="164" fontId="8" fillId="6" borderId="0" xfId="0" applyFont="true" applyBorder="true" applyAlignment="true" applyProtection="true">
      <alignment horizontal="center" vertical="bottom" textRotation="0" wrapText="false" indent="0" shrinkToFit="false"/>
      <protection locked="true" hidden="true"/>
    </xf>
    <xf numFmtId="164" fontId="8" fillId="7" borderId="21" xfId="0" applyFont="true" applyBorder="true" applyAlignment="true" applyProtection="true">
      <alignment horizontal="left" vertical="bottom" textRotation="0" wrapText="false" indent="0" shrinkToFit="false"/>
      <protection locked="true" hidden="true"/>
    </xf>
    <xf numFmtId="164" fontId="8" fillId="7" borderId="22" xfId="0" applyFont="true" applyBorder="true" applyAlignment="true" applyProtection="true">
      <alignment horizontal="center" vertical="bottom" textRotation="0" wrapText="false" indent="0" shrinkToFit="false"/>
      <protection locked="true" hidden="true"/>
    </xf>
    <xf numFmtId="164" fontId="14" fillId="7" borderId="22" xfId="0" applyFont="true" applyBorder="true" applyAlignment="true" applyProtection="true">
      <alignment horizontal="center" vertical="bottom" textRotation="0" wrapText="false" indent="0" shrinkToFit="false"/>
      <protection locked="true" hidden="true"/>
    </xf>
    <xf numFmtId="167" fontId="15" fillId="9" borderId="23" xfId="0" applyFont="true" applyBorder="true" applyAlignment="true" applyProtection="true">
      <alignment horizontal="right" vertical="top" textRotation="0" wrapText="false" indent="0" shrinkToFit="false"/>
      <protection locked="true" hidden="true"/>
    </xf>
    <xf numFmtId="167" fontId="15" fillId="9" borderId="24" xfId="0" applyFont="true" applyBorder="true" applyAlignment="true" applyProtection="true">
      <alignment horizontal="left" vertical="top" textRotation="0" wrapText="false" indent="0" shrinkToFit="false"/>
      <protection locked="true" hidden="true"/>
    </xf>
    <xf numFmtId="167" fontId="16" fillId="9" borderId="15" xfId="0" applyFont="true" applyBorder="true" applyAlignment="true" applyProtection="true">
      <alignment horizontal="left" vertical="top" textRotation="0" wrapText="false" indent="0" shrinkToFit="false"/>
      <protection locked="true" hidden="true"/>
    </xf>
    <xf numFmtId="167" fontId="13" fillId="9" borderId="25" xfId="0" applyFont="true" applyBorder="true" applyAlignment="true" applyProtection="true">
      <alignment horizontal="center" vertical="top" textRotation="0" wrapText="false" indent="0" shrinkToFit="false"/>
      <protection locked="true" hidden="true"/>
    </xf>
    <xf numFmtId="164" fontId="13" fillId="8" borderId="18" xfId="0" applyFont="true" applyBorder="true" applyAlignment="false" applyProtection="true">
      <alignment horizontal="general" vertical="bottom" textRotation="0" wrapText="false" indent="0" shrinkToFit="false"/>
      <protection locked="true" hidden="true"/>
    </xf>
    <xf numFmtId="164" fontId="8" fillId="5" borderId="26" xfId="0" applyFont="true" applyBorder="true" applyAlignment="true" applyProtection="true">
      <alignment horizontal="center" vertical="bottom" textRotation="0" wrapText="false" indent="0" shrinkToFit="false"/>
      <protection locked="false" hidden="false"/>
    </xf>
    <xf numFmtId="164" fontId="8" fillId="5" borderId="20" xfId="0" applyFont="true" applyBorder="true" applyAlignment="true" applyProtection="true">
      <alignment horizontal="center" vertical="bottom" textRotation="0" wrapText="false" indent="0" shrinkToFit="false"/>
      <protection locked="false" hidden="false"/>
    </xf>
    <xf numFmtId="164" fontId="12" fillId="7" borderId="27" xfId="0" applyFont="true" applyBorder="true" applyAlignment="true" applyProtection="true">
      <alignment horizontal="left" vertical="bottom" textRotation="0" wrapText="false" indent="0" shrinkToFit="false"/>
      <protection locked="true" hidden="true"/>
    </xf>
    <xf numFmtId="164" fontId="8" fillId="7" borderId="28" xfId="0" applyFont="true" applyBorder="true" applyAlignment="true" applyProtection="true">
      <alignment horizontal="center" vertical="bottom" textRotation="0" wrapText="false" indent="0" shrinkToFit="false"/>
      <protection locked="true" hidden="true"/>
    </xf>
    <xf numFmtId="164" fontId="0" fillId="7" borderId="28" xfId="0" applyFont="false" applyBorder="true" applyAlignment="false" applyProtection="true">
      <alignment horizontal="general" vertical="bottom" textRotation="0" wrapText="false" indent="0" shrinkToFit="false"/>
      <protection locked="true" hidden="true"/>
    </xf>
    <xf numFmtId="164" fontId="17" fillId="9" borderId="29" xfId="0" applyFont="true" applyBorder="true" applyAlignment="true" applyProtection="true">
      <alignment horizontal="left" vertical="bottom" textRotation="0" wrapText="false" indent="0" shrinkToFit="false"/>
      <protection locked="true" hidden="true"/>
    </xf>
    <xf numFmtId="164" fontId="8" fillId="9" borderId="30" xfId="0" applyFont="true" applyBorder="true" applyAlignment="true" applyProtection="true">
      <alignment horizontal="right" vertical="top" textRotation="0" wrapText="false" indent="0" shrinkToFit="false"/>
      <protection locked="true" hidden="true"/>
    </xf>
    <xf numFmtId="164" fontId="18" fillId="9" borderId="31" xfId="0" applyFont="true" applyBorder="true" applyAlignment="true" applyProtection="true">
      <alignment horizontal="center" vertical="top" textRotation="0" wrapText="false" indent="0" shrinkToFit="false"/>
      <protection locked="true" hidden="true"/>
    </xf>
    <xf numFmtId="164" fontId="17" fillId="8" borderId="18" xfId="0" applyFont="true" applyBorder="true" applyAlignment="false" applyProtection="true">
      <alignment horizontal="general" vertical="bottom" textRotation="0" wrapText="false" indent="0" shrinkToFit="false"/>
      <protection locked="true" hidden="true"/>
    </xf>
    <xf numFmtId="164" fontId="13" fillId="5" borderId="3" xfId="0" applyFont="true" applyBorder="true" applyAlignment="true" applyProtection="true">
      <alignment horizontal="center" vertical="bottom" textRotation="0" wrapText="false" indent="0" shrinkToFit="false"/>
      <protection locked="false" hidden="false"/>
    </xf>
    <xf numFmtId="164" fontId="13" fillId="5" borderId="12" xfId="0" applyFont="true" applyBorder="true" applyAlignment="true" applyProtection="true">
      <alignment horizontal="center" vertical="bottom" textRotation="0" wrapText="false" indent="0" shrinkToFit="false"/>
      <protection locked="false" hidden="false"/>
    </xf>
    <xf numFmtId="164" fontId="13" fillId="3" borderId="0" xfId="0" applyFont="true" applyBorder="true" applyAlignment="true" applyProtection="true">
      <alignment horizontal="center" vertical="bottom" textRotation="0" wrapText="false" indent="0" shrinkToFit="false"/>
      <protection locked="true" hidden="true"/>
    </xf>
    <xf numFmtId="168" fontId="8" fillId="6" borderId="0" xfId="0" applyFont="true" applyBorder="false" applyAlignment="true" applyProtection="true">
      <alignment horizontal="left" vertical="bottom" textRotation="0" wrapText="false" indent="0" shrinkToFit="false"/>
      <protection locked="true" hidden="true"/>
    </xf>
    <xf numFmtId="164" fontId="8" fillId="6" borderId="0" xfId="0" applyFont="true" applyBorder="true" applyAlignment="true" applyProtection="true">
      <alignment horizontal="left" vertical="bottom" textRotation="0" wrapText="false" indent="0" shrinkToFit="false"/>
      <protection locked="true" hidden="true"/>
    </xf>
    <xf numFmtId="164" fontId="13" fillId="7" borderId="32" xfId="0" applyFont="true" applyBorder="true" applyAlignment="true" applyProtection="true">
      <alignment horizontal="center" vertical="bottom" textRotation="0" wrapText="false" indent="0" shrinkToFit="false"/>
      <protection locked="true" hidden="true"/>
    </xf>
    <xf numFmtId="164" fontId="13" fillId="7" borderId="0" xfId="0" applyFont="true" applyBorder="true" applyAlignment="true" applyProtection="true">
      <alignment horizontal="center" vertical="bottom" textRotation="0" wrapText="false" indent="0" shrinkToFit="false"/>
      <protection locked="true" hidden="true"/>
    </xf>
    <xf numFmtId="164" fontId="19" fillId="7" borderId="0" xfId="0" applyFont="true" applyBorder="true" applyAlignment="true" applyProtection="true">
      <alignment horizontal="center" vertical="bottom" textRotation="90" wrapText="false" indent="0" shrinkToFit="false"/>
      <protection locked="true" hidden="true"/>
    </xf>
    <xf numFmtId="164" fontId="16" fillId="7" borderId="0" xfId="0" applyFont="true" applyBorder="true" applyAlignment="true" applyProtection="true">
      <alignment horizontal="right" vertical="bottom" textRotation="0" wrapText="false" indent="0" shrinkToFit="false"/>
      <protection locked="true" hidden="true"/>
    </xf>
    <xf numFmtId="164" fontId="20" fillId="7" borderId="33" xfId="0" applyFont="true" applyBorder="true" applyAlignment="true" applyProtection="true">
      <alignment horizontal="left" vertical="top" textRotation="0" wrapText="false" indent="0" shrinkToFit="false"/>
      <protection locked="true" hidden="true"/>
    </xf>
    <xf numFmtId="164" fontId="21" fillId="7" borderId="13" xfId="0" applyFont="true" applyBorder="true" applyAlignment="true" applyProtection="true">
      <alignment horizontal="left" vertical="top" textRotation="0" wrapText="false" indent="0" shrinkToFit="false"/>
      <protection locked="true" hidden="true"/>
    </xf>
    <xf numFmtId="164" fontId="21" fillId="7" borderId="34" xfId="0" applyFont="true" applyBorder="true" applyAlignment="true" applyProtection="true">
      <alignment horizontal="left" vertical="top" textRotation="0" wrapText="false" indent="0" shrinkToFit="false"/>
      <protection locked="true" hidden="true"/>
    </xf>
    <xf numFmtId="164" fontId="8" fillId="8" borderId="1" xfId="0" applyFont="true" applyBorder="true" applyAlignment="true" applyProtection="true">
      <alignment horizontal="center" vertical="bottom" textRotation="0" wrapText="false" indent="0" shrinkToFit="false"/>
      <protection locked="true" hidden="true"/>
    </xf>
    <xf numFmtId="164" fontId="16" fillId="6" borderId="0" xfId="0" applyFont="true" applyBorder="false" applyAlignment="true" applyProtection="true">
      <alignment horizontal="left" vertical="bottom" textRotation="0" wrapText="false" indent="0" shrinkToFit="false"/>
      <protection locked="true" hidden="true"/>
    </xf>
    <xf numFmtId="164" fontId="16" fillId="6" borderId="0" xfId="0" applyFont="true" applyBorder="false" applyAlignment="true" applyProtection="true">
      <alignment horizontal="right" vertical="bottom" textRotation="0" wrapText="false" indent="0" shrinkToFit="false"/>
      <protection locked="true" hidden="true"/>
    </xf>
    <xf numFmtId="164" fontId="13" fillId="3" borderId="0" xfId="0" applyFont="true" applyBorder="false" applyAlignment="true" applyProtection="true">
      <alignment horizontal="center" vertical="bottom" textRotation="0" wrapText="false" indent="0" shrinkToFit="false"/>
      <protection locked="true" hidden="true"/>
    </xf>
    <xf numFmtId="164" fontId="22" fillId="7" borderId="35" xfId="0" applyFont="true" applyBorder="true" applyAlignment="true" applyProtection="true">
      <alignment horizontal="right" vertical="top" textRotation="0" wrapText="false" indent="0" shrinkToFit="false"/>
      <protection locked="true" hidden="true"/>
    </xf>
    <xf numFmtId="169" fontId="13" fillId="7" borderId="0" xfId="0" applyFont="true" applyBorder="true" applyAlignment="true" applyProtection="true">
      <alignment horizontal="left" vertical="top" textRotation="0" wrapText="false" indent="0" shrinkToFit="false"/>
      <protection locked="true" hidden="true"/>
    </xf>
    <xf numFmtId="169" fontId="13" fillId="7" borderId="36" xfId="0" applyFont="true" applyBorder="true" applyAlignment="true" applyProtection="true">
      <alignment horizontal="left" vertical="top" textRotation="0" wrapText="false" indent="0" shrinkToFit="false"/>
      <protection locked="true" hidden="true"/>
    </xf>
    <xf numFmtId="164" fontId="8" fillId="8" borderId="18" xfId="0" applyFont="true" applyBorder="true" applyAlignment="false" applyProtection="true">
      <alignment horizontal="general" vertical="bottom" textRotation="0" wrapText="false" indent="0" shrinkToFit="false"/>
      <protection locked="true" hidden="true"/>
    </xf>
    <xf numFmtId="167" fontId="8" fillId="5" borderId="3" xfId="0" applyFont="true" applyBorder="true" applyAlignment="true" applyProtection="true">
      <alignment horizontal="center" vertical="bottom" textRotation="0" wrapText="false" indent="0" shrinkToFit="false"/>
      <protection locked="false" hidden="false"/>
    </xf>
    <xf numFmtId="167" fontId="8" fillId="5" borderId="12" xfId="0" applyFont="true" applyBorder="true" applyAlignment="true" applyProtection="true">
      <alignment horizontal="center" vertical="bottom" textRotation="0" wrapText="false" indent="0" shrinkToFit="false"/>
      <protection locked="false" hidden="false"/>
    </xf>
    <xf numFmtId="170" fontId="8" fillId="3" borderId="2" xfId="0" applyFont="true" applyBorder="true" applyAlignment="true" applyProtection="true">
      <alignment horizontal="center" vertical="bottom" textRotation="0" wrapText="false" indent="0" shrinkToFit="false"/>
      <protection locked="true" hidden="true"/>
    </xf>
    <xf numFmtId="167" fontId="23" fillId="6" borderId="2" xfId="0" applyFont="true" applyBorder="true" applyAlignment="true" applyProtection="true">
      <alignment horizontal="right" vertical="bottom" textRotation="0" wrapText="false" indent="0" shrinkToFit="false"/>
      <protection locked="true" hidden="true"/>
    </xf>
    <xf numFmtId="170" fontId="23" fillId="6" borderId="0" xfId="0" applyFont="true" applyBorder="true" applyAlignment="true" applyProtection="true">
      <alignment horizontal="right" vertical="bottom" textRotation="0" wrapText="false" indent="0" shrinkToFit="false"/>
      <protection locked="true" hidden="true"/>
    </xf>
    <xf numFmtId="164" fontId="8" fillId="3" borderId="2" xfId="0" applyFont="true" applyBorder="true" applyAlignment="true" applyProtection="true">
      <alignment horizontal="center" vertical="bottom" textRotation="0" wrapText="false" indent="0" shrinkToFit="false"/>
      <protection locked="true" hidden="true"/>
    </xf>
    <xf numFmtId="164" fontId="8" fillId="7" borderId="32" xfId="0" applyFont="true" applyBorder="true" applyAlignment="true" applyProtection="true">
      <alignment horizontal="center" vertical="bottom" textRotation="0" wrapText="false" indent="0" shrinkToFit="false"/>
      <protection locked="true" hidden="true"/>
    </xf>
    <xf numFmtId="164" fontId="8" fillId="7" borderId="0" xfId="0" applyFont="true" applyBorder="true" applyAlignment="true" applyProtection="true">
      <alignment horizontal="center" vertical="bottom" textRotation="0" wrapText="false" indent="0" shrinkToFit="false"/>
      <protection locked="true" hidden="true"/>
    </xf>
    <xf numFmtId="167" fontId="13" fillId="7" borderId="37" xfId="0" applyFont="true" applyBorder="true" applyAlignment="true" applyProtection="true">
      <alignment horizontal="left" vertical="bottom" textRotation="0" wrapText="false" indent="0" shrinkToFit="false"/>
      <protection locked="true" hidden="true"/>
    </xf>
    <xf numFmtId="164" fontId="0" fillId="4" borderId="38" xfId="0" applyFont="false" applyBorder="true" applyAlignment="false" applyProtection="true">
      <alignment horizontal="general" vertical="bottom" textRotation="0" wrapText="false" indent="0" shrinkToFit="false"/>
      <protection locked="true" hidden="true"/>
    </xf>
    <xf numFmtId="164" fontId="0" fillId="4" borderId="39" xfId="0" applyFont="false" applyBorder="true" applyAlignment="false" applyProtection="true">
      <alignment horizontal="general" vertical="bottom" textRotation="0" wrapText="false" indent="0" shrinkToFit="false"/>
      <protection locked="true" hidden="true"/>
    </xf>
    <xf numFmtId="164" fontId="24" fillId="8" borderId="18" xfId="0" applyFont="true" applyBorder="true" applyAlignment="false" applyProtection="true">
      <alignment horizontal="general" vertical="bottom" textRotation="0" wrapText="false" indent="0" shrinkToFit="false"/>
      <protection locked="true" hidden="true"/>
    </xf>
    <xf numFmtId="167" fontId="13" fillId="5" borderId="3" xfId="0" applyFont="true" applyBorder="true" applyAlignment="true" applyProtection="true">
      <alignment horizontal="center" vertical="bottom" textRotation="0" wrapText="false" indent="0" shrinkToFit="false"/>
      <protection locked="false" hidden="false"/>
    </xf>
    <xf numFmtId="167" fontId="13" fillId="5" borderId="12" xfId="0" applyFont="true" applyBorder="true" applyAlignment="true" applyProtection="true">
      <alignment horizontal="center" vertical="bottom" textRotation="0" wrapText="false" indent="0" shrinkToFit="false"/>
      <protection locked="false" hidden="false"/>
    </xf>
    <xf numFmtId="170" fontId="13" fillId="3" borderId="2" xfId="0" applyFont="true" applyBorder="true" applyAlignment="true" applyProtection="true">
      <alignment horizontal="center" vertical="bottom" textRotation="0" wrapText="false" indent="0" shrinkToFit="false"/>
      <protection locked="true" hidden="true"/>
    </xf>
    <xf numFmtId="164" fontId="13" fillId="3" borderId="2" xfId="0" applyFont="true" applyBorder="true" applyAlignment="true" applyProtection="true">
      <alignment horizontal="center" vertical="bottom" textRotation="0" wrapText="false" indent="0" shrinkToFit="false"/>
      <protection locked="true" hidden="true"/>
    </xf>
    <xf numFmtId="164" fontId="13" fillId="7" borderId="40" xfId="0" applyFont="true" applyBorder="true" applyAlignment="true" applyProtection="true">
      <alignment horizontal="center" vertical="bottom" textRotation="0" wrapText="false" indent="0" shrinkToFit="false"/>
      <protection locked="true" hidden="true"/>
    </xf>
    <xf numFmtId="167" fontId="12" fillId="7" borderId="2" xfId="0" applyFont="true" applyBorder="true" applyAlignment="true" applyProtection="true">
      <alignment horizontal="left" vertical="bottom" textRotation="0" wrapText="false" indent="0" shrinkToFit="false"/>
      <protection locked="true" hidden="true"/>
    </xf>
    <xf numFmtId="167" fontId="13" fillId="7" borderId="3" xfId="0" applyFont="true" applyBorder="true" applyAlignment="true" applyProtection="true">
      <alignment horizontal="center" vertical="bottom" textRotation="0" wrapText="false" indent="0" shrinkToFit="false"/>
      <protection locked="true" hidden="true"/>
    </xf>
    <xf numFmtId="164" fontId="22" fillId="7" borderId="0" xfId="0" applyFont="true" applyBorder="true" applyAlignment="true" applyProtection="true">
      <alignment horizontal="right" vertical="top" textRotation="0" wrapText="false" indent="0" shrinkToFit="false"/>
      <protection locked="true" hidden="true"/>
    </xf>
    <xf numFmtId="171" fontId="13" fillId="7" borderId="0" xfId="0" applyFont="true" applyBorder="true" applyAlignment="true" applyProtection="true">
      <alignment horizontal="left" vertical="top" textRotation="0" wrapText="false" indent="0" shrinkToFit="false"/>
      <protection locked="true" hidden="true"/>
    </xf>
    <xf numFmtId="171" fontId="13" fillId="7" borderId="36" xfId="0" applyFont="true" applyBorder="true" applyAlignment="true" applyProtection="true">
      <alignment horizontal="left" vertical="top" textRotation="0" wrapText="false" indent="0" shrinkToFit="false"/>
      <protection locked="true" hidden="true"/>
    </xf>
    <xf numFmtId="164" fontId="16" fillId="8" borderId="41" xfId="0" applyFont="true" applyBorder="true" applyAlignment="false" applyProtection="true">
      <alignment horizontal="general" vertical="bottom" textRotation="0" wrapText="false" indent="0" shrinkToFit="false"/>
      <protection locked="true" hidden="true"/>
    </xf>
    <xf numFmtId="167" fontId="13" fillId="5" borderId="42" xfId="0" applyFont="true" applyBorder="true" applyAlignment="true" applyProtection="true">
      <alignment horizontal="center" vertical="bottom" textRotation="0" wrapText="false" indent="0" shrinkToFit="false"/>
      <protection locked="false" hidden="false"/>
    </xf>
    <xf numFmtId="167" fontId="13" fillId="5" borderId="43" xfId="0" applyFont="true" applyBorder="true" applyAlignment="true" applyProtection="true">
      <alignment horizontal="center" vertical="bottom" textRotation="0" wrapText="false" indent="0" shrinkToFit="false"/>
      <protection locked="false" hidden="false"/>
    </xf>
    <xf numFmtId="170" fontId="13" fillId="3" borderId="0" xfId="0" applyFont="true" applyBorder="true" applyAlignment="true" applyProtection="true">
      <alignment horizontal="center" vertical="bottom" textRotation="0" wrapText="false" indent="0" shrinkToFit="false"/>
      <protection locked="true" hidden="true"/>
    </xf>
    <xf numFmtId="167" fontId="25" fillId="6" borderId="0" xfId="0" applyFont="true" applyBorder="false" applyAlignment="false" applyProtection="true">
      <alignment horizontal="general" vertical="bottom" textRotation="0" wrapText="false" indent="0" shrinkToFit="false"/>
      <protection locked="true" hidden="true"/>
    </xf>
    <xf numFmtId="170" fontId="25" fillId="6" borderId="0" xfId="0" applyFont="true" applyBorder="true" applyAlignment="false" applyProtection="true">
      <alignment horizontal="general" vertical="bottom" textRotation="0" wrapText="false" indent="0" shrinkToFit="false"/>
      <protection locked="true" hidden="true"/>
    </xf>
    <xf numFmtId="172" fontId="13" fillId="7" borderId="44" xfId="0" applyFont="true" applyBorder="true" applyAlignment="true" applyProtection="true">
      <alignment horizontal="center" vertical="bottom" textRotation="0" wrapText="false" indent="0" shrinkToFit="false"/>
      <protection locked="true" hidden="true"/>
    </xf>
    <xf numFmtId="171" fontId="13" fillId="7" borderId="0" xfId="0" applyFont="true" applyBorder="true" applyAlignment="true" applyProtection="true">
      <alignment horizontal="center" vertical="bottom" textRotation="0" wrapText="false" indent="0" shrinkToFit="false"/>
      <protection locked="true" hidden="true"/>
    </xf>
    <xf numFmtId="172" fontId="13" fillId="7" borderId="37" xfId="0" applyFont="true" applyBorder="true" applyAlignment="true" applyProtection="true">
      <alignment horizontal="left" vertical="bottom" textRotation="0" wrapText="false" indent="0" shrinkToFit="false"/>
      <protection locked="true" hidden="true"/>
    </xf>
    <xf numFmtId="164" fontId="16" fillId="8" borderId="45" xfId="0" applyFont="true" applyBorder="true" applyAlignment="false" applyProtection="true">
      <alignment horizontal="general" vertical="bottom" textRotation="0" wrapText="false" indent="0" shrinkToFit="false"/>
      <protection locked="true" hidden="true"/>
    </xf>
    <xf numFmtId="167" fontId="13" fillId="5" borderId="46" xfId="0" applyFont="true" applyBorder="true" applyAlignment="true" applyProtection="true">
      <alignment horizontal="center" vertical="bottom" textRotation="0" wrapText="false" indent="0" shrinkToFit="false"/>
      <protection locked="false" hidden="false"/>
    </xf>
    <xf numFmtId="167" fontId="13" fillId="5" borderId="47" xfId="0" applyFont="true" applyBorder="true" applyAlignment="true" applyProtection="true">
      <alignment horizontal="center" vertical="bottom" textRotation="0" wrapText="false" indent="0" shrinkToFit="false"/>
      <protection locked="false" hidden="false"/>
    </xf>
    <xf numFmtId="170" fontId="25" fillId="6" borderId="0" xfId="0" applyFont="true" applyBorder="false" applyAlignment="false" applyProtection="true">
      <alignment horizontal="general" vertical="bottom" textRotation="0" wrapText="false" indent="0" shrinkToFit="false"/>
      <protection locked="true" hidden="true"/>
    </xf>
    <xf numFmtId="172" fontId="13" fillId="7" borderId="32" xfId="0" applyFont="true" applyBorder="true" applyAlignment="true" applyProtection="true">
      <alignment horizontal="center" vertical="bottom" textRotation="0" wrapText="false" indent="0" shrinkToFit="false"/>
      <protection locked="true" hidden="true"/>
    </xf>
    <xf numFmtId="172" fontId="13" fillId="7" borderId="0" xfId="0" applyFont="true" applyBorder="true" applyAlignment="true" applyProtection="true">
      <alignment horizontal="left" vertical="bottom" textRotation="0" wrapText="false" indent="0" shrinkToFit="false"/>
      <protection locked="true" hidden="true"/>
    </xf>
    <xf numFmtId="164" fontId="20" fillId="7" borderId="1" xfId="0" applyFont="true" applyBorder="true" applyAlignment="true" applyProtection="true">
      <alignment horizontal="left" vertical="top" textRotation="0" wrapText="false" indent="0" shrinkToFit="false"/>
      <protection locked="true" hidden="true"/>
    </xf>
    <xf numFmtId="164" fontId="12" fillId="7" borderId="2" xfId="0" applyFont="true" applyBorder="true" applyAlignment="true" applyProtection="true">
      <alignment horizontal="left" vertical="top" textRotation="0" wrapText="false" indent="0" shrinkToFit="false"/>
      <protection locked="true" hidden="true"/>
    </xf>
    <xf numFmtId="164" fontId="21" fillId="7" borderId="48" xfId="0" applyFont="true" applyBorder="true" applyAlignment="true" applyProtection="true">
      <alignment horizontal="left" vertical="top" textRotation="0" wrapText="false" indent="0" shrinkToFit="false"/>
      <protection locked="true" hidden="true"/>
    </xf>
    <xf numFmtId="164" fontId="16" fillId="7" borderId="49" xfId="0" applyFont="true" applyBorder="true" applyAlignment="true" applyProtection="true">
      <alignment horizontal="right" vertical="top" textRotation="0" wrapText="false" indent="0" shrinkToFit="false"/>
      <protection locked="true" hidden="true"/>
    </xf>
    <xf numFmtId="171" fontId="13" fillId="7" borderId="8" xfId="0" applyFont="true" applyBorder="true" applyAlignment="true" applyProtection="true">
      <alignment horizontal="right" vertical="top" textRotation="0" wrapText="false" indent="0" shrinkToFit="false"/>
      <protection locked="true" hidden="true"/>
    </xf>
    <xf numFmtId="164" fontId="13" fillId="7" borderId="50" xfId="0" applyFont="true" applyBorder="true" applyAlignment="true" applyProtection="true">
      <alignment horizontal="left" vertical="top" textRotation="0" wrapText="false" indent="0" shrinkToFit="false"/>
      <protection locked="true" hidden="true"/>
    </xf>
    <xf numFmtId="164" fontId="16" fillId="7" borderId="51" xfId="0" applyFont="true" applyBorder="true" applyAlignment="true" applyProtection="true">
      <alignment horizontal="right" vertical="top" textRotation="0" wrapText="false" indent="0" shrinkToFit="false"/>
      <protection locked="true" hidden="true"/>
    </xf>
    <xf numFmtId="171" fontId="13" fillId="7" borderId="52" xfId="0" applyFont="true" applyBorder="true" applyAlignment="true" applyProtection="true">
      <alignment horizontal="right" vertical="top" textRotation="0" wrapText="false" indent="0" shrinkToFit="false"/>
      <protection locked="true" hidden="true"/>
    </xf>
    <xf numFmtId="164" fontId="13" fillId="7" borderId="53" xfId="0" applyFont="true" applyBorder="true" applyAlignment="true" applyProtection="true">
      <alignment horizontal="left" vertical="top" textRotation="0" wrapText="false" indent="0" shrinkToFit="false"/>
      <protection locked="true" hidden="true"/>
    </xf>
    <xf numFmtId="164" fontId="16" fillId="8" borderId="54" xfId="0" applyFont="true" applyBorder="true" applyAlignment="false" applyProtection="true">
      <alignment horizontal="general" vertical="bottom" textRotation="0" wrapText="false" indent="0" shrinkToFit="false"/>
      <protection locked="true" hidden="true"/>
    </xf>
    <xf numFmtId="167" fontId="13" fillId="5" borderId="55" xfId="0" applyFont="true" applyBorder="true" applyAlignment="true" applyProtection="true">
      <alignment horizontal="center" vertical="bottom" textRotation="0" wrapText="false" indent="0" shrinkToFit="false"/>
      <protection locked="false" hidden="false"/>
    </xf>
    <xf numFmtId="167" fontId="13" fillId="5" borderId="56" xfId="0" applyFont="true" applyBorder="true" applyAlignment="true" applyProtection="true">
      <alignment horizontal="center" vertical="bottom" textRotation="0" wrapText="false" indent="0" shrinkToFit="false"/>
      <protection locked="false" hidden="false"/>
    </xf>
    <xf numFmtId="164" fontId="16" fillId="7" borderId="35" xfId="0" applyFont="true" applyBorder="true" applyAlignment="true" applyProtection="true">
      <alignment horizontal="right" vertical="top" textRotation="0" wrapText="false" indent="0" shrinkToFit="false"/>
      <protection locked="true" hidden="true"/>
    </xf>
    <xf numFmtId="171" fontId="13" fillId="7" borderId="0" xfId="0" applyFont="true" applyBorder="true" applyAlignment="true" applyProtection="true">
      <alignment horizontal="right" vertical="top" textRotation="0" wrapText="false" indent="0" shrinkToFit="false"/>
      <protection locked="true" hidden="true"/>
    </xf>
    <xf numFmtId="164" fontId="13" fillId="7" borderId="36" xfId="0" applyFont="true" applyBorder="true" applyAlignment="true" applyProtection="true">
      <alignment horizontal="left" vertical="top" textRotation="0" wrapText="false" indent="0" shrinkToFit="false"/>
      <protection locked="true" hidden="true"/>
    </xf>
    <xf numFmtId="170" fontId="13" fillId="3" borderId="8" xfId="0" applyFont="true" applyBorder="true" applyAlignment="true" applyProtection="true">
      <alignment horizontal="center" vertical="bottom" textRotation="0" wrapText="false" indent="0" shrinkToFit="false"/>
      <protection locked="true" hidden="true"/>
    </xf>
    <xf numFmtId="167" fontId="25" fillId="6" borderId="8" xfId="0" applyFont="true" applyBorder="true" applyAlignment="false" applyProtection="true">
      <alignment horizontal="general" vertical="bottom" textRotation="0" wrapText="false" indent="0" shrinkToFit="false"/>
      <protection locked="true" hidden="true"/>
    </xf>
    <xf numFmtId="172" fontId="13" fillId="7" borderId="0" xfId="0" applyFont="true" applyBorder="true" applyAlignment="true" applyProtection="true">
      <alignment horizontal="center" vertical="bottom" textRotation="0" wrapText="false" indent="0" shrinkToFit="false"/>
      <protection locked="true" hidden="true"/>
    </xf>
    <xf numFmtId="164" fontId="0" fillId="6" borderId="0" xfId="0" applyFont="false" applyBorder="false" applyAlignment="false" applyProtection="true">
      <alignment horizontal="general" vertical="bottom" textRotation="0" wrapText="false" indent="0" shrinkToFit="false"/>
      <protection locked="true" hidden="true"/>
    </xf>
    <xf numFmtId="164" fontId="16" fillId="8" borderId="57" xfId="0" applyFont="true" applyBorder="true" applyAlignment="false" applyProtection="true">
      <alignment horizontal="general" vertical="bottom" textRotation="0" wrapText="false" indent="0" shrinkToFit="false"/>
      <protection locked="true" hidden="true"/>
    </xf>
    <xf numFmtId="167" fontId="13" fillId="5" borderId="58" xfId="0" applyFont="true" applyBorder="true" applyAlignment="true" applyProtection="true">
      <alignment horizontal="center" vertical="bottom" textRotation="0" wrapText="false" indent="0" shrinkToFit="false"/>
      <protection locked="false" hidden="false"/>
    </xf>
    <xf numFmtId="167" fontId="13" fillId="5" borderId="59" xfId="0" applyFont="true" applyBorder="true" applyAlignment="true" applyProtection="true">
      <alignment horizontal="center" vertical="bottom" textRotation="0" wrapText="false" indent="0" shrinkToFit="false"/>
      <protection locked="false" hidden="false"/>
    </xf>
    <xf numFmtId="170" fontId="12" fillId="3" borderId="0" xfId="0" applyFont="true" applyBorder="true" applyAlignment="true" applyProtection="true">
      <alignment horizontal="center" vertical="bottom" textRotation="0" wrapText="false" indent="0" shrinkToFit="false"/>
      <protection locked="true" hidden="true"/>
    </xf>
    <xf numFmtId="164" fontId="0" fillId="7" borderId="0" xfId="0" applyFont="false" applyBorder="false" applyAlignment="false" applyProtection="true">
      <alignment horizontal="general" vertical="bottom" textRotation="0" wrapText="false" indent="0" shrinkToFit="false"/>
      <protection locked="true" hidden="true"/>
    </xf>
    <xf numFmtId="164" fontId="26" fillId="0" borderId="0" xfId="0" applyFont="true" applyBorder="false" applyAlignment="false" applyProtection="true">
      <alignment horizontal="general" vertical="bottom" textRotation="0" wrapText="false" indent="0" shrinkToFit="false"/>
      <protection locked="true" hidden="true"/>
    </xf>
    <xf numFmtId="168" fontId="26" fillId="6" borderId="1" xfId="0" applyFont="true" applyBorder="true" applyAlignment="false" applyProtection="true">
      <alignment horizontal="general" vertical="bottom" textRotation="0" wrapText="false" indent="0" shrinkToFit="false"/>
      <protection locked="true" hidden="true"/>
    </xf>
    <xf numFmtId="164" fontId="26" fillId="6" borderId="2" xfId="0" applyFont="true" applyBorder="true" applyAlignment="true" applyProtection="true">
      <alignment horizontal="center" vertical="bottom" textRotation="0" wrapText="false" indent="0" shrinkToFit="false"/>
      <protection locked="true" hidden="true"/>
    </xf>
    <xf numFmtId="164" fontId="16" fillId="6" borderId="3" xfId="0" applyFont="true" applyBorder="true" applyAlignment="false" applyProtection="true">
      <alignment horizontal="general" vertical="bottom" textRotation="0" wrapText="false" indent="0" shrinkToFit="false"/>
      <protection locked="true" hidden="true"/>
    </xf>
    <xf numFmtId="168" fontId="27" fillId="3" borderId="27" xfId="0" applyFont="true" applyBorder="true" applyAlignment="false" applyProtection="true">
      <alignment horizontal="general" vertical="bottom" textRotation="0" wrapText="false" indent="0" shrinkToFit="false"/>
      <protection locked="true" hidden="true"/>
    </xf>
    <xf numFmtId="168" fontId="28" fillId="3" borderId="27" xfId="0" applyFont="true" applyBorder="true" applyAlignment="false" applyProtection="true">
      <alignment horizontal="general" vertical="bottom" textRotation="0" wrapText="false" indent="0" shrinkToFit="false"/>
      <protection locked="true" hidden="true"/>
    </xf>
    <xf numFmtId="167" fontId="10" fillId="8" borderId="2" xfId="0" applyFont="true" applyBorder="true" applyAlignment="true" applyProtection="true">
      <alignment horizontal="right" vertical="bottom" textRotation="0" wrapText="false" indent="0" shrinkToFit="false"/>
      <protection locked="true" hidden="true"/>
    </xf>
    <xf numFmtId="164" fontId="16" fillId="3" borderId="0" xfId="0" applyFont="true" applyBorder="true" applyAlignment="false" applyProtection="true">
      <alignment horizontal="general" vertical="bottom" textRotation="0" wrapText="false" indent="0" shrinkToFit="false"/>
      <protection locked="true" hidden="true"/>
    </xf>
    <xf numFmtId="164" fontId="0" fillId="7" borderId="27" xfId="0" applyFont="false" applyBorder="true" applyAlignment="false" applyProtection="true">
      <alignment horizontal="general" vertical="bottom" textRotation="0" wrapText="false" indent="0" shrinkToFit="false"/>
      <protection locked="true" hidden="true"/>
    </xf>
    <xf numFmtId="164" fontId="16" fillId="7" borderId="28" xfId="0" applyFont="true" applyBorder="true" applyAlignment="false" applyProtection="true">
      <alignment horizontal="general" vertical="bottom" textRotation="0" wrapText="false" indent="0" shrinkToFit="false"/>
      <protection locked="true" hidden="true"/>
    </xf>
    <xf numFmtId="167" fontId="8" fillId="7" borderId="28" xfId="0" applyFont="true" applyBorder="true" applyAlignment="true" applyProtection="true">
      <alignment horizontal="left" vertical="bottom" textRotation="0" wrapText="false" indent="0" shrinkToFit="false"/>
      <protection locked="true" hidden="true"/>
    </xf>
    <xf numFmtId="167" fontId="8" fillId="7" borderId="60" xfId="0" applyFont="true" applyBorder="true" applyAlignment="true" applyProtection="true">
      <alignment horizontal="left" vertical="bottom" textRotation="0" wrapText="false" indent="0" shrinkToFit="false"/>
      <protection locked="true" hidden="true"/>
    </xf>
    <xf numFmtId="164" fontId="0" fillId="7" borderId="61" xfId="0" applyFont="false" applyBorder="true" applyAlignment="false" applyProtection="true">
      <alignment horizontal="general" vertical="bottom" textRotation="0" wrapText="false" indent="0" shrinkToFit="false"/>
      <protection locked="true" hidden="true"/>
    </xf>
    <xf numFmtId="164" fontId="13" fillId="7" borderId="62" xfId="0" applyFont="true" applyBorder="true" applyAlignment="true" applyProtection="true">
      <alignment horizontal="left" vertical="top" textRotation="0" wrapText="false" indent="0" shrinkToFit="false"/>
      <protection locked="true" hidden="true"/>
    </xf>
    <xf numFmtId="168" fontId="13" fillId="8" borderId="3" xfId="0" applyFont="true" applyBorder="true" applyAlignment="true" applyProtection="true">
      <alignment horizontal="center" vertical="bottom" textRotation="0" wrapText="false" indent="0" shrinkToFit="false"/>
      <protection locked="true" hidden="true"/>
    </xf>
    <xf numFmtId="167" fontId="13" fillId="8" borderId="12" xfId="0" applyFont="true" applyBorder="true" applyAlignment="true" applyProtection="true">
      <alignment horizontal="center" vertical="bottom" textRotation="0" wrapText="false" indent="0" shrinkToFit="false"/>
      <protection locked="true" hidden="true"/>
    </xf>
    <xf numFmtId="164" fontId="13" fillId="3" borderId="49" xfId="0" applyFont="true" applyBorder="true" applyAlignment="true" applyProtection="true">
      <alignment horizontal="center" vertical="bottom" textRotation="0" wrapText="false" indent="0" shrinkToFit="false"/>
      <protection locked="true" hidden="true"/>
    </xf>
    <xf numFmtId="164" fontId="12" fillId="3" borderId="49" xfId="0" applyFont="true" applyBorder="true" applyAlignment="true" applyProtection="true">
      <alignment horizontal="center" vertical="bottom" textRotation="0" wrapText="false" indent="0" shrinkToFit="false"/>
      <protection locked="true" hidden="true"/>
    </xf>
    <xf numFmtId="167" fontId="25" fillId="8" borderId="0" xfId="0" applyFont="true" applyBorder="false" applyAlignment="false" applyProtection="true">
      <alignment horizontal="general" vertical="bottom" textRotation="0" wrapText="false" indent="0" shrinkToFit="false"/>
      <protection locked="true" hidden="true"/>
    </xf>
    <xf numFmtId="172" fontId="8" fillId="8" borderId="49" xfId="0" applyFont="true" applyBorder="true" applyAlignment="true" applyProtection="true">
      <alignment horizontal="center" vertical="bottom" textRotation="0" wrapText="false" indent="0" shrinkToFit="false"/>
      <protection locked="true" hidden="true"/>
    </xf>
    <xf numFmtId="172" fontId="8" fillId="3" borderId="8" xfId="0" applyFont="true" applyBorder="true" applyAlignment="true" applyProtection="true">
      <alignment horizontal="center" vertical="bottom" textRotation="0" wrapText="false" indent="0" shrinkToFit="false"/>
      <protection locked="true" hidden="true"/>
    </xf>
    <xf numFmtId="172" fontId="8" fillId="8" borderId="0" xfId="0" applyFont="true" applyBorder="true" applyAlignment="true" applyProtection="true">
      <alignment horizontal="center" vertical="bottom" textRotation="0" wrapText="false" indent="0" shrinkToFit="false"/>
      <protection locked="true" hidden="true"/>
    </xf>
    <xf numFmtId="164" fontId="8" fillId="8" borderId="8" xfId="0" applyFont="true" applyBorder="true" applyAlignment="true" applyProtection="true">
      <alignment horizontal="center" vertical="bottom" textRotation="0" wrapText="false" indent="0" shrinkToFit="false"/>
      <protection locked="true" hidden="true"/>
    </xf>
    <xf numFmtId="164" fontId="16" fillId="8" borderId="0" xfId="0" applyFont="true" applyBorder="true" applyAlignment="true" applyProtection="true">
      <alignment horizontal="left" vertical="bottom" textRotation="0" wrapText="false" indent="0" shrinkToFit="false"/>
      <protection locked="true" hidden="true"/>
    </xf>
    <xf numFmtId="164" fontId="16" fillId="8" borderId="63" xfId="0" applyFont="true" applyBorder="true" applyAlignment="true" applyProtection="true">
      <alignment horizontal="left" vertical="bottom" textRotation="0" wrapText="false" indent="0" shrinkToFit="false"/>
      <protection locked="true" hidden="true"/>
    </xf>
    <xf numFmtId="164" fontId="12" fillId="3" borderId="0" xfId="0" applyFont="true" applyBorder="false" applyAlignment="true" applyProtection="true">
      <alignment horizontal="left" vertical="bottom" textRotation="0" wrapText="false" indent="0" shrinkToFit="false"/>
      <protection locked="true" hidden="true"/>
    </xf>
    <xf numFmtId="164" fontId="16" fillId="8" borderId="18" xfId="0" applyFont="true" applyBorder="true" applyAlignment="true" applyProtection="true">
      <alignment horizontal="right" vertical="bottom" textRotation="0" wrapText="false" indent="0" shrinkToFit="false"/>
      <protection locked="true" hidden="true"/>
    </xf>
    <xf numFmtId="167" fontId="13" fillId="8" borderId="3" xfId="0" applyFont="true" applyBorder="true" applyAlignment="true" applyProtection="true">
      <alignment horizontal="center" vertical="bottom" textRotation="0" wrapText="false" indent="0" shrinkToFit="false"/>
      <protection locked="true" hidden="true"/>
    </xf>
    <xf numFmtId="170" fontId="28" fillId="3" borderId="0" xfId="0" applyFont="true" applyBorder="true" applyAlignment="true" applyProtection="true">
      <alignment horizontal="left" vertical="bottom" textRotation="0" wrapText="false" indent="0" shrinkToFit="false"/>
      <protection locked="true" hidden="true"/>
    </xf>
    <xf numFmtId="167" fontId="8" fillId="8" borderId="26" xfId="0" applyFont="true" applyBorder="true" applyAlignment="true" applyProtection="true">
      <alignment horizontal="center" vertical="bottom" textRotation="0" wrapText="false" indent="0" shrinkToFit="false"/>
      <protection locked="true" hidden="true"/>
    </xf>
    <xf numFmtId="170" fontId="26" fillId="8" borderId="0" xfId="0" applyFont="true" applyBorder="true" applyAlignment="true" applyProtection="true">
      <alignment horizontal="left" vertical="bottom" textRotation="0" wrapText="false" indent="0" shrinkToFit="false"/>
      <protection locked="true" hidden="true"/>
    </xf>
    <xf numFmtId="170" fontId="13" fillId="8" borderId="0" xfId="0" applyFont="true" applyBorder="true" applyAlignment="true" applyProtection="true">
      <alignment horizontal="center" vertical="bottom" textRotation="0" wrapText="false" indent="0" shrinkToFit="false"/>
      <protection locked="true" hidden="true"/>
    </xf>
    <xf numFmtId="170" fontId="8" fillId="8" borderId="0" xfId="0" applyFont="true" applyBorder="true" applyAlignment="true" applyProtection="true">
      <alignment horizontal="center" vertical="bottom" textRotation="0" wrapText="false" indent="0" shrinkToFit="false"/>
      <protection locked="true" hidden="true"/>
    </xf>
    <xf numFmtId="164" fontId="29" fillId="8" borderId="0" xfId="0" applyFont="true" applyBorder="true" applyAlignment="false" applyProtection="true">
      <alignment horizontal="general" vertical="bottom" textRotation="0" wrapText="false" indent="0" shrinkToFit="false"/>
      <protection locked="true" hidden="true"/>
    </xf>
    <xf numFmtId="164" fontId="29" fillId="8" borderId="26" xfId="0" applyFont="true" applyBorder="true" applyAlignment="false" applyProtection="true">
      <alignment horizontal="general" vertical="bottom" textRotation="0" wrapText="false" indent="0" shrinkToFit="false"/>
      <protection locked="true" hidden="true"/>
    </xf>
    <xf numFmtId="164" fontId="12" fillId="3" borderId="0" xfId="0" applyFont="true" applyBorder="false" applyAlignment="false" applyProtection="true">
      <alignment horizontal="general" vertical="bottom" textRotation="0" wrapText="false" indent="0" shrinkToFit="false"/>
      <protection locked="true" hidden="true"/>
    </xf>
    <xf numFmtId="164" fontId="28" fillId="8" borderId="18" xfId="0" applyFont="true" applyBorder="true" applyAlignment="true" applyProtection="true">
      <alignment horizontal="center" vertical="bottom" textRotation="0" wrapText="false" indent="0" shrinkToFit="false"/>
      <protection locked="true" hidden="true"/>
    </xf>
    <xf numFmtId="170" fontId="28" fillId="8" borderId="64" xfId="0" applyFont="true" applyBorder="true" applyAlignment="true" applyProtection="true">
      <alignment horizontal="center" vertical="bottom" textRotation="0" wrapText="false" indent="0" shrinkToFit="false"/>
      <protection locked="true" hidden="true"/>
    </xf>
    <xf numFmtId="170" fontId="13" fillId="8" borderId="64" xfId="0" applyFont="true" applyBorder="true" applyAlignment="true" applyProtection="true">
      <alignment horizontal="center" vertical="bottom" textRotation="0" wrapText="false" indent="0" shrinkToFit="false"/>
      <protection locked="true" hidden="true"/>
    </xf>
    <xf numFmtId="170" fontId="13" fillId="8" borderId="8" xfId="0" applyFont="true" applyBorder="true" applyAlignment="true" applyProtection="true">
      <alignment horizontal="center" vertical="bottom" textRotation="0" wrapText="false" indent="0" shrinkToFit="false"/>
      <protection locked="true" hidden="true"/>
    </xf>
    <xf numFmtId="170" fontId="13" fillId="8" borderId="49" xfId="0" applyFont="true" applyBorder="true" applyAlignment="true" applyProtection="true">
      <alignment horizontal="center" vertical="bottom" textRotation="0" wrapText="false" indent="0" shrinkToFit="false"/>
      <protection locked="true" hidden="true"/>
    </xf>
    <xf numFmtId="170" fontId="20" fillId="8" borderId="2" xfId="0" applyFont="true" applyBorder="true" applyAlignment="true" applyProtection="true">
      <alignment horizontal="center" vertical="bottom" textRotation="0" wrapText="false" indent="0" shrinkToFit="false"/>
      <protection locked="true" hidden="true"/>
    </xf>
    <xf numFmtId="164" fontId="13" fillId="8" borderId="3" xfId="0" applyFont="true" applyBorder="true" applyAlignment="true" applyProtection="true">
      <alignment horizontal="center" vertical="bottom" textRotation="0" wrapText="false" indent="0" shrinkToFit="false"/>
      <protection locked="true" hidden="true"/>
    </xf>
    <xf numFmtId="164" fontId="10" fillId="3" borderId="49" xfId="0" applyFont="true" applyBorder="true" applyAlignment="false" applyProtection="true">
      <alignment horizontal="general" vertical="bottom" textRotation="0" wrapText="false" indent="0" shrinkToFit="false"/>
      <protection locked="true" hidden="true"/>
    </xf>
    <xf numFmtId="164" fontId="10" fillId="3" borderId="8" xfId="0" applyFont="true" applyBorder="true" applyAlignment="false" applyProtection="true">
      <alignment horizontal="general" vertical="bottom" textRotation="0" wrapText="false" indent="0" shrinkToFit="false"/>
      <protection locked="true" hidden="true"/>
    </xf>
    <xf numFmtId="164" fontId="10" fillId="3" borderId="0" xfId="0" applyFont="true" applyBorder="true" applyAlignment="true" applyProtection="true">
      <alignment horizontal="center" vertical="bottom" textRotation="0" wrapText="false" indent="0" shrinkToFit="false"/>
      <protection locked="true" hidden="true"/>
    </xf>
    <xf numFmtId="164" fontId="10" fillId="3" borderId="8" xfId="0" applyFont="true" applyBorder="true" applyAlignment="true" applyProtection="true">
      <alignment horizontal="center" vertical="bottom" textRotation="0" wrapText="false" indent="0" shrinkToFit="false"/>
      <protection locked="true" hidden="true"/>
    </xf>
    <xf numFmtId="164" fontId="10" fillId="3" borderId="65" xfId="0" applyFont="true" applyBorder="true" applyAlignment="true" applyProtection="true">
      <alignment horizontal="center" vertical="bottom" textRotation="0" wrapText="false" indent="0" shrinkToFit="false"/>
      <protection locked="true" hidden="true"/>
    </xf>
    <xf numFmtId="164" fontId="0" fillId="8" borderId="12" xfId="0" applyFont="true" applyBorder="true" applyAlignment="true" applyProtection="true">
      <alignment horizontal="center" vertical="bottom" textRotation="0" wrapText="false" indent="0" shrinkToFit="false"/>
      <protection locked="true" hidden="true"/>
    </xf>
    <xf numFmtId="164" fontId="13" fillId="5" borderId="66" xfId="0" applyFont="true" applyBorder="true" applyAlignment="true" applyProtection="true">
      <alignment horizontal="general" vertical="bottom" textRotation="0" wrapText="false" indent="0" shrinkToFit="false"/>
      <protection locked="false" hidden="false"/>
    </xf>
    <xf numFmtId="167" fontId="13" fillId="5" borderId="64" xfId="0" applyFont="true" applyBorder="true" applyAlignment="true" applyProtection="true">
      <alignment horizontal="general" vertical="bottom" textRotation="0" wrapText="false" indent="0" shrinkToFit="false"/>
      <protection locked="false" hidden="false"/>
    </xf>
    <xf numFmtId="167" fontId="13" fillId="5" borderId="43" xfId="0" applyFont="true" applyBorder="true" applyAlignment="true" applyProtection="true">
      <alignment horizontal="general" vertical="bottom" textRotation="0" wrapText="false" indent="0" shrinkToFit="false"/>
      <protection locked="false" hidden="false"/>
    </xf>
    <xf numFmtId="168" fontId="13" fillId="3" borderId="43" xfId="0" applyFont="true" applyBorder="true" applyAlignment="true" applyProtection="true">
      <alignment horizontal="general" vertical="bottom" textRotation="0" wrapText="false" indent="0" shrinkToFit="false"/>
      <protection locked="true" hidden="true"/>
    </xf>
    <xf numFmtId="168" fontId="13" fillId="8" borderId="67" xfId="0" applyFont="true" applyBorder="true" applyAlignment="true" applyProtection="true">
      <alignment horizontal="general" vertical="bottom" textRotation="0" wrapText="false" indent="0" shrinkToFit="false"/>
      <protection locked="true" hidden="true"/>
    </xf>
    <xf numFmtId="168" fontId="25" fillId="6" borderId="67" xfId="0" applyFont="true" applyBorder="true" applyAlignment="true" applyProtection="true">
      <alignment horizontal="general" vertical="bottom" textRotation="0" wrapText="false" indent="0" shrinkToFit="false"/>
      <protection locked="true" hidden="true"/>
    </xf>
    <xf numFmtId="172" fontId="30" fillId="3" borderId="68" xfId="0" applyFont="true" applyBorder="true" applyAlignment="true" applyProtection="true">
      <alignment horizontal="center" vertical="bottom" textRotation="0" wrapText="false" indent="0" shrinkToFit="false"/>
      <protection locked="true" hidden="true"/>
    </xf>
    <xf numFmtId="172" fontId="10" fillId="8" borderId="68" xfId="0" applyFont="true" applyBorder="true" applyAlignment="true" applyProtection="true">
      <alignment horizontal="center" vertical="bottom" textRotation="0" wrapText="false" indent="0" shrinkToFit="false"/>
      <protection locked="true" hidden="true"/>
    </xf>
    <xf numFmtId="172" fontId="10" fillId="8" borderId="52" xfId="0" applyFont="true" applyBorder="true" applyAlignment="true" applyProtection="true">
      <alignment horizontal="center" vertical="bottom" textRotation="0" wrapText="false" indent="0" shrinkToFit="false"/>
      <protection locked="true" hidden="true"/>
    </xf>
    <xf numFmtId="168" fontId="16" fillId="6" borderId="68" xfId="0" applyFont="true" applyBorder="true" applyAlignment="true" applyProtection="true">
      <alignment horizontal="left" vertical="bottom" textRotation="0" wrapText="false" indent="0" shrinkToFit="false"/>
      <protection locked="true" hidden="true"/>
    </xf>
    <xf numFmtId="164" fontId="13" fillId="6" borderId="68" xfId="0" applyFont="true" applyBorder="true" applyAlignment="true" applyProtection="true">
      <alignment horizontal="left" vertical="bottom" textRotation="0" wrapText="false" indent="0" shrinkToFit="false"/>
      <protection locked="true" hidden="true"/>
    </xf>
    <xf numFmtId="164" fontId="28" fillId="6" borderId="69" xfId="0" applyFont="true" applyBorder="true" applyAlignment="true" applyProtection="true">
      <alignment horizontal="right" vertical="bottom" textRotation="0" wrapText="false" indent="0" shrinkToFit="false"/>
      <protection locked="true" hidden="true"/>
    </xf>
    <xf numFmtId="168" fontId="0" fillId="3" borderId="35" xfId="0" applyFont="false" applyBorder="true" applyAlignment="false" applyProtection="true">
      <alignment horizontal="general" vertical="bottom" textRotation="0" wrapText="false" indent="0" shrinkToFit="false"/>
      <protection locked="true" hidden="true"/>
    </xf>
    <xf numFmtId="168" fontId="0" fillId="3" borderId="0" xfId="0" applyFont="false" applyBorder="true" applyAlignment="false" applyProtection="true">
      <alignment horizontal="general" vertical="bottom" textRotation="0" wrapText="false" indent="0" shrinkToFit="false"/>
      <protection locked="true" hidden="true"/>
    </xf>
    <xf numFmtId="168" fontId="28" fillId="3" borderId="0" xfId="0" applyFont="true" applyBorder="false" applyAlignment="false" applyProtection="true">
      <alignment horizontal="general" vertical="bottom" textRotation="0" wrapText="false" indent="0" shrinkToFit="false"/>
      <protection locked="true" hidden="true"/>
    </xf>
    <xf numFmtId="164" fontId="29" fillId="0" borderId="0" xfId="0" applyFont="true" applyBorder="false" applyAlignment="false" applyProtection="true">
      <alignment horizontal="general" vertical="bottom" textRotation="0" wrapText="false" indent="0" shrinkToFit="false"/>
      <protection locked="true" hidden="true"/>
    </xf>
    <xf numFmtId="168" fontId="0" fillId="3" borderId="0" xfId="0" applyFont="false" applyBorder="true" applyAlignment="false" applyProtection="true">
      <alignment horizontal="general" vertical="bottom" textRotation="0" wrapText="false" indent="0" shrinkToFit="false"/>
      <protection locked="true" hidden="true"/>
    </xf>
    <xf numFmtId="164" fontId="0" fillId="5" borderId="12" xfId="0" applyFont="false" applyBorder="true" applyAlignment="true" applyProtection="true">
      <alignment horizontal="center" vertical="bottom" textRotation="0" wrapText="false" indent="0" shrinkToFit="false"/>
      <protection locked="false" hidden="false"/>
    </xf>
    <xf numFmtId="164" fontId="16" fillId="5" borderId="12" xfId="0" applyFont="true" applyBorder="true" applyAlignment="false" applyProtection="true">
      <alignment horizontal="general" vertical="bottom" textRotation="0" wrapText="false" indent="0" shrinkToFit="false"/>
      <protection locked="false" hidden="false"/>
    </xf>
    <xf numFmtId="164" fontId="13" fillId="5" borderId="45" xfId="0" applyFont="true" applyBorder="true" applyAlignment="true" applyProtection="true">
      <alignment horizontal="general" vertical="bottom" textRotation="0" wrapText="false" indent="0" shrinkToFit="false"/>
      <protection locked="false" hidden="false"/>
    </xf>
    <xf numFmtId="167" fontId="13" fillId="5" borderId="69" xfId="0" applyFont="true" applyBorder="true" applyAlignment="true" applyProtection="true">
      <alignment horizontal="general" vertical="bottom" textRotation="0" wrapText="false" indent="0" shrinkToFit="false"/>
      <protection locked="false" hidden="false"/>
    </xf>
    <xf numFmtId="167" fontId="13" fillId="5" borderId="47" xfId="0" applyFont="true" applyBorder="true" applyAlignment="true" applyProtection="true">
      <alignment horizontal="general" vertical="bottom" textRotation="0" wrapText="false" indent="0" shrinkToFit="false"/>
      <protection locked="false" hidden="false"/>
    </xf>
    <xf numFmtId="168" fontId="13" fillId="3" borderId="47" xfId="0" applyFont="true" applyBorder="true" applyAlignment="true" applyProtection="true">
      <alignment horizontal="general" vertical="bottom" textRotation="0" wrapText="false" indent="0" shrinkToFit="false"/>
      <protection locked="true" hidden="true"/>
    </xf>
    <xf numFmtId="168" fontId="13" fillId="8" borderId="51" xfId="0" applyFont="true" applyBorder="true" applyAlignment="true" applyProtection="true">
      <alignment horizontal="general" vertical="bottom" textRotation="0" wrapText="false" indent="0" shrinkToFit="false"/>
      <protection locked="true" hidden="true"/>
    </xf>
    <xf numFmtId="168" fontId="25" fillId="6" borderId="70" xfId="0" applyFont="true" applyBorder="true" applyAlignment="true" applyProtection="true">
      <alignment horizontal="general" vertical="bottom" textRotation="0" wrapText="false" indent="0" shrinkToFit="false"/>
      <protection locked="true" hidden="true"/>
    </xf>
    <xf numFmtId="172" fontId="10" fillId="8" borderId="71" xfId="0" applyFont="true" applyBorder="true" applyAlignment="true" applyProtection="true">
      <alignment horizontal="center" vertical="bottom" textRotation="0" wrapText="false" indent="0" shrinkToFit="false"/>
      <protection locked="true" hidden="true"/>
    </xf>
    <xf numFmtId="168" fontId="16" fillId="6" borderId="71" xfId="0" applyFont="true" applyBorder="true" applyAlignment="true" applyProtection="true">
      <alignment horizontal="left" vertical="bottom" textRotation="0" wrapText="false" indent="0" shrinkToFit="false"/>
      <protection locked="true" hidden="true"/>
    </xf>
    <xf numFmtId="164" fontId="13" fillId="6" borderId="71" xfId="0" applyFont="true" applyBorder="true" applyAlignment="true" applyProtection="true">
      <alignment horizontal="left" vertical="bottom" textRotation="0" wrapText="false" indent="0" shrinkToFit="false"/>
      <protection locked="true" hidden="true"/>
    </xf>
    <xf numFmtId="168" fontId="0" fillId="3" borderId="37" xfId="0" applyFont="false" applyBorder="true" applyAlignment="false" applyProtection="true">
      <alignment horizontal="general" vertical="bottom" textRotation="0" wrapText="false" indent="0" shrinkToFit="false"/>
      <protection locked="true" hidden="true"/>
    </xf>
    <xf numFmtId="164" fontId="7" fillId="0" borderId="0" xfId="0" applyFont="true" applyBorder="true" applyAlignment="true" applyProtection="true">
      <alignment horizontal="center" vertical="center" textRotation="0" wrapText="false" indent="0" shrinkToFit="false"/>
      <protection locked="true" hidden="true"/>
    </xf>
    <xf numFmtId="164" fontId="0" fillId="6" borderId="71" xfId="0" applyFont="false" applyBorder="true" applyAlignment="true" applyProtection="false">
      <alignment horizontal="general" vertical="bottom" textRotation="0" wrapText="false" indent="0" shrinkToFit="false"/>
      <protection locked="true" hidden="false"/>
    </xf>
    <xf numFmtId="164" fontId="28" fillId="6" borderId="69" xfId="0" applyFont="true" applyBorder="true" applyAlignment="true" applyProtection="false">
      <alignment horizontal="right" vertical="bottom" textRotation="0" wrapText="false" indent="0" shrinkToFit="false"/>
      <protection locked="true" hidden="false"/>
    </xf>
    <xf numFmtId="168" fontId="13" fillId="8" borderId="70" xfId="0" applyFont="true" applyBorder="true" applyAlignment="true" applyProtection="true">
      <alignment horizontal="general" vertical="bottom" textRotation="0" wrapText="false" indent="0" shrinkToFit="false"/>
      <protection locked="true" hidden="true"/>
    </xf>
    <xf numFmtId="172" fontId="29" fillId="0" borderId="0" xfId="0" applyFont="true" applyBorder="false" applyAlignment="false" applyProtection="true">
      <alignment horizontal="general" vertical="bottom" textRotation="0" wrapText="false" indent="0" shrinkToFit="false"/>
      <protection locked="true" hidden="true"/>
    </xf>
    <xf numFmtId="172" fontId="0" fillId="0" borderId="0" xfId="0" applyFont="false" applyBorder="false" applyAlignment="false" applyProtection="true">
      <alignment horizontal="general" vertical="bottom" textRotation="0" wrapText="false" indent="0" shrinkToFit="false"/>
      <protection locked="true" hidden="true"/>
    </xf>
    <xf numFmtId="164" fontId="29" fillId="0" borderId="0" xfId="0" applyFont="true" applyBorder="true" applyAlignment="true" applyProtection="true">
      <alignment horizontal="left" vertical="bottom" textRotation="0" wrapText="false" indent="0" shrinkToFit="false"/>
      <protection locked="true" hidden="true"/>
    </xf>
    <xf numFmtId="164" fontId="13" fillId="0" borderId="0" xfId="0" applyFont="true" applyBorder="true" applyAlignment="true" applyProtection="true">
      <alignment horizontal="left" vertical="bottom" textRotation="0" wrapText="false" indent="0" shrinkToFit="false"/>
      <protection locked="true" hidden="true"/>
    </xf>
    <xf numFmtId="164" fontId="13" fillId="5" borderId="57" xfId="0" applyFont="true" applyBorder="true" applyAlignment="true" applyProtection="true">
      <alignment horizontal="general" vertical="bottom" textRotation="0" wrapText="false" indent="0" shrinkToFit="false"/>
      <protection locked="false" hidden="false"/>
    </xf>
    <xf numFmtId="167" fontId="13" fillId="5" borderId="72" xfId="0" applyFont="true" applyBorder="true" applyAlignment="true" applyProtection="true">
      <alignment horizontal="general" vertical="bottom" textRotation="0" wrapText="false" indent="0" shrinkToFit="false"/>
      <protection locked="false" hidden="false"/>
    </xf>
    <xf numFmtId="167" fontId="13" fillId="5" borderId="59" xfId="0" applyFont="true" applyBorder="true" applyAlignment="true" applyProtection="true">
      <alignment horizontal="general" vertical="bottom" textRotation="0" wrapText="false" indent="0" shrinkToFit="false"/>
      <protection locked="false" hidden="false"/>
    </xf>
    <xf numFmtId="168" fontId="13" fillId="3" borderId="59" xfId="0" applyFont="true" applyBorder="true" applyAlignment="true" applyProtection="true">
      <alignment horizontal="general" vertical="bottom" textRotation="0" wrapText="false" indent="0" shrinkToFit="false"/>
      <protection locked="true" hidden="true"/>
    </xf>
    <xf numFmtId="168" fontId="13" fillId="8" borderId="73" xfId="0" applyFont="true" applyBorder="true" applyAlignment="true" applyProtection="true">
      <alignment horizontal="general" vertical="bottom" textRotation="0" wrapText="false" indent="0" shrinkToFit="false"/>
      <protection locked="true" hidden="true"/>
    </xf>
    <xf numFmtId="168" fontId="25" fillId="6" borderId="73" xfId="0" applyFont="true" applyBorder="true" applyAlignment="true" applyProtection="true">
      <alignment horizontal="general" vertical="bottom" textRotation="0" wrapText="false" indent="0" shrinkToFit="false"/>
      <protection locked="true" hidden="true"/>
    </xf>
    <xf numFmtId="172" fontId="10" fillId="8" borderId="74" xfId="0" applyFont="true" applyBorder="true" applyAlignment="true" applyProtection="true">
      <alignment horizontal="center" vertical="bottom" textRotation="0" wrapText="false" indent="0" shrinkToFit="false"/>
      <protection locked="true" hidden="true"/>
    </xf>
    <xf numFmtId="168" fontId="16" fillId="6" borderId="74" xfId="0" applyFont="true" applyBorder="true" applyAlignment="true" applyProtection="true">
      <alignment horizontal="left" vertical="bottom" textRotation="0" wrapText="false" indent="0" shrinkToFit="false"/>
      <protection locked="true" hidden="true"/>
    </xf>
    <xf numFmtId="164" fontId="0" fillId="6" borderId="74" xfId="0" applyFont="false" applyBorder="true" applyAlignment="true" applyProtection="false">
      <alignment horizontal="general" vertical="bottom" textRotation="0" wrapText="false" indent="0" shrinkToFit="false"/>
      <protection locked="true" hidden="false"/>
    </xf>
    <xf numFmtId="164" fontId="28" fillId="6" borderId="72" xfId="0" applyFont="true" applyBorder="true" applyAlignment="true" applyProtection="false">
      <alignment horizontal="right" vertical="bottom" textRotation="0" wrapText="false" indent="0" shrinkToFit="false"/>
      <protection locked="true" hidden="false"/>
    </xf>
    <xf numFmtId="164" fontId="16" fillId="3" borderId="35" xfId="0" applyFont="true" applyBorder="true" applyAlignment="false" applyProtection="true">
      <alignment horizontal="general" vertical="bottom" textRotation="0" wrapText="false" indent="0" shrinkToFit="false"/>
      <protection locked="true" hidden="true"/>
    </xf>
    <xf numFmtId="164" fontId="0" fillId="3" borderId="8" xfId="0" applyFont="false" applyBorder="true" applyAlignment="false" applyProtection="true">
      <alignment horizontal="general" vertical="bottom" textRotation="0" wrapText="false" indent="0" shrinkToFit="false"/>
      <protection locked="true" hidden="true"/>
    </xf>
    <xf numFmtId="167" fontId="15"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false" applyProtection="true">
      <alignment horizontal="general" vertical="bottom" textRotation="0" wrapText="false" indent="0" shrinkToFit="false"/>
      <protection locked="true" hidden="true"/>
    </xf>
    <xf numFmtId="168" fontId="0" fillId="3" borderId="33" xfId="0" applyFont="false" applyBorder="true" applyAlignment="false" applyProtection="true">
      <alignment horizontal="general" vertical="bottom" textRotation="0" wrapText="false" indent="0" shrinkToFit="false"/>
      <protection locked="true" hidden="true"/>
    </xf>
    <xf numFmtId="168" fontId="0" fillId="3" borderId="13" xfId="0" applyFont="false" applyBorder="true" applyAlignment="false" applyProtection="true">
      <alignment horizontal="general" vertical="bottom" textRotation="0" wrapText="false" indent="0" shrinkToFit="false"/>
      <protection locked="true" hidden="true"/>
    </xf>
    <xf numFmtId="166" fontId="0" fillId="3" borderId="13" xfId="0" applyFont="false" applyBorder="true" applyAlignment="false" applyProtection="true">
      <alignment horizontal="general" vertical="bottom" textRotation="0" wrapText="false" indent="0" shrinkToFit="false"/>
      <protection locked="true" hidden="true"/>
    </xf>
    <xf numFmtId="167" fontId="0" fillId="3" borderId="13" xfId="0" applyFont="false" applyBorder="true" applyAlignment="false" applyProtection="true">
      <alignment horizontal="general" vertical="bottom" textRotation="0" wrapText="false" indent="0" shrinkToFit="false"/>
      <protection locked="true" hidden="true"/>
    </xf>
    <xf numFmtId="172" fontId="0" fillId="3" borderId="13" xfId="0" applyFont="false" applyBorder="true" applyAlignment="false" applyProtection="true">
      <alignment horizontal="general" vertical="bottom" textRotation="0" wrapText="false" indent="0" shrinkToFit="false"/>
      <protection locked="true" hidden="true"/>
    </xf>
    <xf numFmtId="167" fontId="0" fillId="3" borderId="0" xfId="0" applyFont="false" applyBorder="false" applyAlignment="false" applyProtection="true">
      <alignment horizontal="general" vertical="bottom" textRotation="0" wrapText="false" indent="0" shrinkToFit="false"/>
      <protection locked="true" hidden="true"/>
    </xf>
    <xf numFmtId="170" fontId="0" fillId="3" borderId="13" xfId="0" applyFont="false" applyBorder="true" applyAlignment="false" applyProtection="true">
      <alignment horizontal="general" vertical="bottom" textRotation="0" wrapText="false" indent="0" shrinkToFit="false"/>
      <protection locked="true" hidden="true"/>
    </xf>
    <xf numFmtId="172" fontId="0" fillId="3" borderId="26" xfId="0" applyFont="false" applyBorder="true" applyAlignment="false" applyProtection="true">
      <alignment horizontal="general" vertical="bottom" textRotation="0" wrapText="false" indent="0" shrinkToFit="false"/>
      <protection locked="true" hidden="true"/>
    </xf>
    <xf numFmtId="172" fontId="0" fillId="3" borderId="0" xfId="0" applyFont="false" applyBorder="false" applyAlignment="false" applyProtection="true">
      <alignment horizontal="general" vertical="bottom" textRotation="0" wrapText="false" indent="0" shrinkToFit="false"/>
      <protection locked="true" hidden="true"/>
    </xf>
    <xf numFmtId="172" fontId="0" fillId="0" borderId="0" xfId="0" applyFont="false" applyBorder="false" applyAlignment="false" applyProtection="true">
      <alignment horizontal="general" vertical="bottom" textRotation="0" wrapText="false" indent="0" shrinkToFit="false"/>
      <protection locked="true" hidden="true"/>
    </xf>
    <xf numFmtId="164" fontId="8" fillId="3" borderId="0" xfId="0" applyFont="true" applyBorder="false" applyAlignment="false" applyProtection="true">
      <alignment horizontal="general" vertical="bottom" textRotation="0" wrapText="false" indent="0" shrinkToFit="false"/>
      <protection locked="true" hidden="true"/>
    </xf>
    <xf numFmtId="167" fontId="8" fillId="3" borderId="13" xfId="0" applyFont="true" applyBorder="true" applyAlignment="false" applyProtection="true">
      <alignment horizontal="general" vertical="bottom" textRotation="0" wrapText="false" indent="0" shrinkToFit="false"/>
      <protection locked="true" hidden="tru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dxfs count="22">
    <dxf>
      <font>
        <name val="Arial"/>
        <family val="0"/>
        <color rgb="FFFF0000"/>
      </font>
    </dxf>
    <dxf>
      <font>
        <name val="Arial"/>
        <family val="0"/>
        <color rgb="FFC0C0C0"/>
      </font>
    </dxf>
    <dxf>
      <font>
        <name val="Arial"/>
        <family val="0"/>
        <color rgb="FFFF0000"/>
      </font>
    </dxf>
    <dxf>
      <font>
        <name val="Arial"/>
        <family val="0"/>
        <b val="0"/>
        <i val="0"/>
        <color rgb="FF339966"/>
      </font>
    </dxf>
    <dxf>
      <font>
        <name val="Arial"/>
        <family val="0"/>
        <color rgb="FF808080"/>
      </font>
    </dxf>
    <dxf>
      <font>
        <name val="Arial"/>
        <family val="0"/>
        <color rgb="FFFF0000"/>
      </font>
    </dxf>
    <dxf>
      <font>
        <name val="Arial"/>
        <family val="0"/>
        <color rgb="FF339966"/>
      </font>
    </dxf>
    <dxf>
      <font>
        <name val="Arial"/>
        <family val="0"/>
        <color rgb="FF808080"/>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externalLink" Target="externalLinks/externalLink1.xml"/><Relationship Id="rId5" Type="http://schemas.openxmlformats.org/officeDocument/2006/relationships/sharedStrings" Target="sharedStrings.xml"/>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21</xdr:col>
      <xdr:colOff>19800</xdr:colOff>
      <xdr:row>4</xdr:row>
      <xdr:rowOff>152640</xdr:rowOff>
    </xdr:from>
    <xdr:to>
      <xdr:col>21</xdr:col>
      <xdr:colOff>961200</xdr:colOff>
      <xdr:row>7</xdr:row>
      <xdr:rowOff>128160</xdr:rowOff>
    </xdr:to>
    <xdr:grpSp>
      <xdr:nvGrpSpPr>
        <xdr:cNvPr id="0" name="Group 26"/>
        <xdr:cNvGrpSpPr/>
      </xdr:nvGrpSpPr>
      <xdr:grpSpPr>
        <a:xfrm>
          <a:off x="6908400" y="857520"/>
          <a:ext cx="941400" cy="489960"/>
          <a:chOff x="6908400" y="857520"/>
          <a:chExt cx="941400" cy="489960"/>
        </a:xfrm>
      </xdr:grpSpPr>
    </xdr:grpSp>
    <xdr:clientData/>
  </xdr:twoCellAnchor>
  <xdr:twoCellAnchor editAs="oneCell">
    <xdr:from>
      <xdr:col>21</xdr:col>
      <xdr:colOff>10440</xdr:colOff>
      <xdr:row>2</xdr:row>
      <xdr:rowOff>142920</xdr:rowOff>
    </xdr:from>
    <xdr:to>
      <xdr:col>21</xdr:col>
      <xdr:colOff>957240</xdr:colOff>
      <xdr:row>4</xdr:row>
      <xdr:rowOff>57240</xdr:rowOff>
    </xdr:to>
    <xdr:clientData/>
  </xdr:twoCellAnchor>
  <xdr:twoCellAnchor editAs="oneCell">
    <xdr:from>
      <xdr:col>21</xdr:col>
      <xdr:colOff>10440</xdr:colOff>
      <xdr:row>0</xdr:row>
      <xdr:rowOff>9360</xdr:rowOff>
    </xdr:from>
    <xdr:to>
      <xdr:col>21</xdr:col>
      <xdr:colOff>957240</xdr:colOff>
      <xdr:row>1</xdr:row>
      <xdr:rowOff>66240</xdr:rowOff>
    </xdr:to>
    <xdr:clientData/>
  </xdr:twoCellAnchor>
  <xdr:twoCellAnchor editAs="oneCell">
    <xdr:from>
      <xdr:col>21</xdr:col>
      <xdr:colOff>10440</xdr:colOff>
      <xdr:row>1</xdr:row>
      <xdr:rowOff>66240</xdr:rowOff>
    </xdr:from>
    <xdr:to>
      <xdr:col>21</xdr:col>
      <xdr:colOff>957240</xdr:colOff>
      <xdr:row>2</xdr:row>
      <xdr:rowOff>153000</xdr:rowOff>
    </xdr:to>
    <xdr:clientData/>
  </xdr:twoCellAnchor>
  <xdr:twoCellAnchor editAs="oneCell">
    <xdr:from>
      <xdr:col>22</xdr:col>
      <xdr:colOff>70200</xdr:colOff>
      <xdr:row>0</xdr:row>
      <xdr:rowOff>9360</xdr:rowOff>
    </xdr:from>
    <xdr:to>
      <xdr:col>22</xdr:col>
      <xdr:colOff>1011960</xdr:colOff>
      <xdr:row>2</xdr:row>
      <xdr:rowOff>80640</xdr:rowOff>
    </xdr:to>
    <xdr:grpSp>
      <xdr:nvGrpSpPr>
        <xdr:cNvPr id="1" name="Group 34"/>
        <xdr:cNvGrpSpPr/>
      </xdr:nvGrpSpPr>
      <xdr:grpSpPr>
        <a:xfrm>
          <a:off x="8025480" y="9360"/>
          <a:ext cx="941760" cy="433080"/>
          <a:chOff x="8025480" y="9360"/>
          <a:chExt cx="941760" cy="433080"/>
        </a:xfrm>
      </xdr:grpSpPr>
    </xdr:grpSp>
    <xdr:clientData/>
  </xdr:twoCellAnchor>
  <xdr:twoCellAnchor editAs="oneCell">
    <xdr:from>
      <xdr:col>22</xdr:col>
      <xdr:colOff>70200</xdr:colOff>
      <xdr:row>3</xdr:row>
      <xdr:rowOff>38160</xdr:rowOff>
    </xdr:from>
    <xdr:to>
      <xdr:col>22</xdr:col>
      <xdr:colOff>1017360</xdr:colOff>
      <xdr:row>4</xdr:row>
      <xdr:rowOff>114480</xdr:rowOff>
    </xdr:to>
    <xdr:clientData/>
  </xdr:twoCellAnchor>
  <xdr:twoCellAnchor editAs="oneCell">
    <xdr:from>
      <xdr:col>22</xdr:col>
      <xdr:colOff>70200</xdr:colOff>
      <xdr:row>4</xdr:row>
      <xdr:rowOff>104760</xdr:rowOff>
    </xdr:from>
    <xdr:to>
      <xdr:col>22</xdr:col>
      <xdr:colOff>1017360</xdr:colOff>
      <xdr:row>5</xdr:row>
      <xdr:rowOff>171360</xdr:rowOff>
    </xdr:to>
    <xdr:clientData/>
  </xdr:twoCellAnchor>
  <xdr:twoCellAnchor editAs="oneCell">
    <xdr:from>
      <xdr:col>22</xdr:col>
      <xdr:colOff>70200</xdr:colOff>
      <xdr:row>5</xdr:row>
      <xdr:rowOff>152640</xdr:rowOff>
    </xdr:from>
    <xdr:to>
      <xdr:col>22</xdr:col>
      <xdr:colOff>1017360</xdr:colOff>
      <xdr:row>7</xdr:row>
      <xdr:rowOff>75960</xdr:rowOff>
    </xdr:to>
    <xdr:clientData/>
  </xdr:twoCellAnchor>
  <xdr:twoCellAnchor editAs="oneCell">
    <xdr:from>
      <xdr:col>22</xdr:col>
      <xdr:colOff>70200</xdr:colOff>
      <xdr:row>7</xdr:row>
      <xdr:rowOff>56880</xdr:rowOff>
    </xdr:from>
    <xdr:to>
      <xdr:col>22</xdr:col>
      <xdr:colOff>1017360</xdr:colOff>
      <xdr:row>8</xdr:row>
      <xdr:rowOff>142920</xdr:rowOff>
    </xdr:to>
    <xdr:clientData/>
  </xdr:twoCellAnchor>
  <xdr:twoCellAnchor editAs="oneCell">
    <xdr:from>
      <xdr:col>21</xdr:col>
      <xdr:colOff>986400</xdr:colOff>
      <xdr:row>61</xdr:row>
      <xdr:rowOff>66240</xdr:rowOff>
    </xdr:from>
    <xdr:to>
      <xdr:col>22</xdr:col>
      <xdr:colOff>865800</xdr:colOff>
      <xdr:row>62</xdr:row>
      <xdr:rowOff>161640</xdr:rowOff>
    </xdr:to>
    <xdr:clientData/>
  </xdr:twoCellAnchor>
  <xdr:twoCellAnchor editAs="oneCell">
    <xdr:from>
      <xdr:col>21</xdr:col>
      <xdr:colOff>986400</xdr:colOff>
      <xdr:row>63</xdr:row>
      <xdr:rowOff>75960</xdr:rowOff>
    </xdr:from>
    <xdr:to>
      <xdr:col>22</xdr:col>
      <xdr:colOff>865800</xdr:colOff>
      <xdr:row>65</xdr:row>
      <xdr:rowOff>9360</xdr:rowOff>
    </xdr:to>
    <xdr:clientData/>
  </xdr:twoCellAnchor>
</xdr:wsDr>
</file>

<file path=xl/externalLinks/_rels/externalLink1.xml.rels><?xml version="1.0" encoding="UTF-8"?>
<Relationships xmlns="http://schemas.openxmlformats.org/package/2006/relationships"><Relationship Id="rId1" Type="http://schemas.openxmlformats.org/officeDocument/2006/relationships/externalLinkPath" Target="10.22_IBMR%20PACA_JMI_calculs_$a.xls" TargetMode="External"/>
</Relationships>
</file>

<file path=xl/externalLinks/externalLink1.xml><?xml version="1.0" encoding="UTF-8" standalone="yes"?>
<externalLink xmlns="http://schemas.openxmlformats.org/spreadsheetml/2006/main"><externalBook xmlns:r="http://schemas.openxmlformats.org/officeDocument/2006/relationships" r:id="rId1"><sheetNames><sheetName val="accueil"/><sheetName val="notice"/><sheetName val="liste reference"/><sheetName val="Récap."/><sheetName val="MONDRAGON"/><sheetName val="TAULIGNAN"/><sheetName val="modele"/><sheetName val="liste codes réf"/></sheetNames><sheetDataSet><sheetData sheetId="0"></sheetData><sheetData sheetId="1"></sheetData><sheetData sheetId="2"><row r="7"><cell r="A7" t="str"><v>LEP.SPX</v></cell><cell r="B7" t="str"><v>Leptomitus sp.        </v></cell><cell r="C7"><v>0</v></cell><cell r="D7"><v>3</v></cell><cell r="E7" t="str"><v>      </v></cell></row><row r="7"><cell r="M7" t="str"><v>HET</v></cell><cell r="N7"><v>1</v></cell></row><row r="7"><cell r="P7" t="str"><v>IBMR</v></cell></row><row r="8"><cell r="A8" t="str"><v>SPT.SPX</v></cell><cell r="B8" t="str"><v>Sphaerotilus sp.        </v></cell><cell r="C8"><v>0</v></cell><cell r="D8"><v>3</v></cell><cell r="E8" t="str"><v>      </v></cell></row><row r="8"><cell r="M8" t="str"><v>HET</v></cell><cell r="N8"><v>1</v></cell></row><row r="8"><cell r="P8" t="str"><v>IBMR</v></cell></row><row r="9"><cell r="B9" t="str"><v>- ALGUES -</v></cell></row><row r="9"><cell r="E9" t="str"><v>      </v></cell></row><row r="9"><cell r="M9" t="str"><v>AL</v></cell><cell r="N9"><v>1.9</v></cell></row><row r="9"><cell r="P9" t="str"><v>IBMR</v></cell></row><row r="10"><cell r="A10" t="str"><v>ANA.SPX</v></cell><cell r="B10" t="str"><v>Anabaena sp.</v></cell></row><row r="10"><cell r="E10" t="str"><v>Bory de St Vincent   </v></cell></row><row r="10"><cell r="M10" t="str"><v>ALG</v></cell><cell r="N10"><v>2</v></cell></row><row r="11"><cell r="A11" t="str"><v>APH.SPX</v></cell><cell r="B11" t="str"><v>Aphanizomenon sp.</v></cell></row><row r="11"><cell r="E11" t="str"><v>Morren      </v></cell></row><row r="11"><cell r="M11" t="str"><v>ALG</v></cell><cell r="N11"><v>2</v></cell></row><row r="12"><cell r="A12" t="str"><v>AUD.SPX</v></cell><cell r="B12" t="str"><v>Audouinella sp.</v></cell><cell r="C12"><v>13</v></cell><cell r="D12"><v>2</v></cell><cell r="E12" t="str"><v>Bory de St Vincent   </v></cell><cell r="F12" t="str"><v>Chantransia (DC.) Fr.</v></cell><cell r="G12" t="str"><v>Rhodochorton Nägeli pro parte</v></cell></row><row r="12"><cell r="M12" t="str"><v>ALG</v></cell><cell r="N12"><v>2</v></cell></row><row r="12"><cell r="P12" t="str"><v>IBMR</v></cell></row><row r="13"><cell r="A13" t="str"><v>BAN.SPX</v></cell><cell r="B13" t="str"><v>Bangia sp. (B. atropurpurea)</v></cell><cell r="C13"><v>10</v></cell><cell r="D13"><v>2</v></cell><cell r="E13" t="str"><v>Lyngbye      </v></cell><cell r="F13" t="str"><v>Bangia atropurpurea (Roth) C. Agardh</v></cell><cell r="G13" t="str"><v>Conferva atropurpurea Roth</v></cell><cell r="H13" t="str"><v>Bangiella Gaillon</v></cell></row><row r="13"><cell r="M13" t="str"><v>ALG</v></cell><cell r="N13"><v>2</v></cell></row><row r="13"><cell r="P13" t="str"><v>IBMR</v></cell></row><row r="14"><cell r="A14" t="str"><v>BAT.SPX</v></cell><cell r="B14" t="str"><v>Batrachospermum sp. </v></cell><cell r="C14"><v>16</v></cell><cell r="D14"><v>2</v></cell><cell r="E14" t="str"><v>Roth      </v></cell><cell r="F14" t="str"><v>Batrachospermella Gaillon</v></cell><cell r="G14" t="str"><v>Charospermum Link in Nees</v></cell></row><row r="14"><cell r="M14" t="str"><v>ALG</v></cell><cell r="N14"><v>2</v></cell></row><row r="14"><cell r="P14" t="str"><v>IBMR</v></cell></row><row r="15"><cell r="A15" t="str"><v>BIN.SPX</v></cell><cell r="B15" t="str"><v>Binuclearia sp.        </v></cell><cell r="C15"><v>14</v></cell><cell r="D15"><v>2</v></cell><cell r="E15" t="str"><v>Wittrock      </v></cell></row><row r="15"><cell r="M15" t="str"><v>ALG</v></cell><cell r="N15"><v>2</v></cell></row><row r="15"><cell r="P15" t="str"><v>IBMR</v></cell></row><row r="16"><cell r="A16" t="str"><v>CHE.SPX</v></cell><cell r="B16" t="str"><v>Chaetophora sp.</v></cell><cell r="C16"><v>12</v></cell><cell r="D16"><v>2</v></cell><cell r="E16" t="str"><v>Schrank      </v></cell></row><row r="16"><cell r="M16" t="str"><v>ALG</v></cell><cell r="N16"><v>2</v></cell></row><row r="16"><cell r="P16" t="str"><v>IBMR</v></cell></row><row r="17"><cell r="A17" t="str"><v>CHA.ACU</v></cell><cell r="B17" t="str"><v>Chara aculeolata</v></cell></row><row r="17"><cell r="E17" t="str"><v>Kützing      </v></cell><cell r="F17" t="str"><v>Chara pedunculata Kûtz.</v></cell><cell r="G17" t="str"><v>Chara polyacantha A. Braun</v></cell></row><row r="17"><cell r="M17" t="str"><v>ALG</v></cell><cell r="N17"><v>2</v></cell></row><row r="18"><cell r="A18" t="str"><v>CHA.ASP</v></cell><cell r="B18" t="str"><v>Chara aspera</v></cell></row><row r="18"><cell r="E18" t="str"><v>Deth. Ex Wild.    </v></cell><cell r="F18" t="str"><v>Chara delicatula Desv. non Agardh </v></cell></row><row r="18"><cell r="M18" t="str"><v>ALG</v></cell><cell r="N18"><v>2</v></cell></row><row r="19"><cell r="A19" t="str"><v>CHA.BRA</v></cell><cell r="B19" t="str"><v>Chara braunii</v></cell></row><row r="19"><cell r="E19" t="str"><v>C.C.Gmelin</v></cell></row><row r="19"><cell r="M19" t="str"><v>ALG</v></cell><cell r="N19"><v>2</v></cell></row><row r="20"><cell r="A20" t="str"><v>CHA.CAN</v></cell><cell r="B20" t="str"><v>Chara canescens</v></cell></row><row r="20"><cell r="E20" t="str"><v>Desv. & Lois    </v></cell></row><row r="20"><cell r="M20" t="str"><v>ALG</v></cell><cell r="N20"><v>2</v></cell></row><row r="21"><cell r="A21" t="str"><v>CHA.CON</v></cell><cell r="B21" t="str"><v>Chara contraria      </v></cell></row><row r="21"><cell r="E21" t="str"><v>A. Braun     </v></cell></row><row r="21"><cell r="M21" t="str"><v>ALG</v></cell><cell r="N21"><v>2</v></cell></row><row r="22"><cell r="A22" t="str"><v>CHA.GLO</v></cell><cell r="B22" t="str"><v>Chara globularis        </v></cell><cell r="C22"><v>13</v></cell><cell r="D22"><v>1</v></cell><cell r="E22" t="str"><v>Thuill.      </v></cell><cell r="F22" t="str"><v>Chara fragilis Desv.</v></cell></row><row r="22"><cell r="M22" t="str"><v>ALG</v></cell><cell r="N22"><v>2</v></cell></row><row r="22"><cell r="P22" t="str"><v>IBMR</v></cell></row><row r="23"><cell r="A23" t="str"><v>CHA.HIS</v></cell><cell r="B23" t="str"><v>Chara hispida </v></cell><cell r="C23"><v>15</v></cell><cell r="D23"><v>2</v></cell><cell r="E23" t="str"><v>(L.) Vaillant</v></cell></row><row r="23"><cell r="M23" t="str"><v>ALG</v></cell><cell r="N23"><v>2</v></cell></row><row r="23"><cell r="P23" t="str"><v>IBMR</v></cell></row><row r="24"><cell r="A24" t="str"><v>CHA.INT</v></cell><cell r="B24" t="str"><v>Chara intermedia</v></cell></row><row r="24"><cell r="E24" t="str"><v>A. Braun     </v></cell></row><row r="24"><cell r="M24" t="str"><v>ALG</v></cell><cell r="N24"><v>2</v></cell></row><row r="25"><cell r="A25" t="str"><v>CHA.SPX</v></cell><cell r="B25" t="str"><v>Chara sp. </v></cell></row><row r="25"><cell r="E25" t="str"><v>L. ex Vaillant    </v></cell></row><row r="25"><cell r="M25" t="str"><v>ALG</v></cell><cell r="N25"><v>2</v></cell></row><row r="26"><cell r="A26" t="str"><v>CHA.VUL</v></cell><cell r="B26" t="str"><v>Chara vulgaris    </v></cell><cell r="C26"><v>13</v></cell><cell r="D26"><v>1</v></cell><cell r="E26" t="str"><v>L.      </v></cell><cell r="F26" t="str"><v>Chara foetida A. Braun</v></cell></row><row r="26"><cell r="M26" t="str"><v>ALG</v></cell><cell r="N26"><v>2</v></cell></row><row r="26"><cell r="P26" t="str"><v>IBMR</v></cell></row><row r="27"><cell r="A27" t="str"><v>CHA.GYM</v></cell><cell r="B27" t="str"><v>Chara vulgaris var. gymnophylla  (C. gymnophylla) </v></cell></row><row r="27"><cell r="E27" t="str"><v>A. Braun     </v></cell><cell r="F27" t="str"><v>Chara gymnophylla A. Braun</v></cell></row><row r="27"><cell r="M27" t="str"><v>ALG</v></cell><cell r="N27"><v>2</v></cell></row><row r="28"><cell r="A28" t="str"><v>CHL.SPX</v></cell><cell r="B28" t="str"><v>Chlorhormidium sp.        </v></cell></row><row r="28"><cell r="E28" t="str"><v>Fott      </v></cell></row><row r="28"><cell r="M28" t="str"><v>ALG</v></cell><cell r="N28"><v>2</v></cell></row><row r="29"><cell r="A29" t="str"><v>CHO.SPX</v></cell><cell r="B29" t="str"><v>Chlorotylium sp</v></cell></row><row r="29"><cell r="E29" t="str"><v>Kützing      </v></cell></row><row r="29"><cell r="M29" t="str"><v>ALG</v></cell><cell r="N29"><v>2</v></cell></row><row r="30"><cell r="A30" t="str"><v>CLA.SPX</v></cell><cell r="B30" t="str"><v>Cladophora sp. </v></cell><cell r="C30"><v>6</v></cell><cell r="D30"><v>1</v></cell><cell r="E30" t="str"><v>Kützing      </v></cell></row><row r="30"><cell r="M30" t="str"><v>ALG</v></cell><cell r="N30"><v>2</v></cell></row><row r="30"><cell r="P30" t="str"><v>IBMR</v></cell></row><row r="31"><cell r="A31" t="str"><v>COM.SPX</v></cell><cell r="B31" t="str"><v>Compsopogon sp.</v></cell></row><row r="31"><cell r="E31" t="str"><v>Mont.  emend. Rintoul, Sheath et Vis</v></cell><cell r="F31" t="str"><v>Pericystis J. Agardh</v></cell></row><row r="31"><cell r="M31" t="str"><v>ALG</v></cell><cell r="N31"><v>2</v></cell></row><row r="32"><cell r="A32" t="str"><v>CYL.SPX</v></cell><cell r="B32" t="str"><v>Cylindrospermum sp.</v></cell></row><row r="32"><cell r="E32" t="str"><v>Kützing      </v></cell></row><row r="32"><cell r="M32" t="str"><v>ALG</v></cell><cell r="N32"><v>2</v></cell></row><row r="33"><cell r="A33" t="str"><v>DIA.SPX</v></cell><cell r="B33" t="str"><v>Diatoma sp.</v></cell><cell r="C33"><v>12</v></cell><cell r="D33"><v>2</v></cell><cell r="E33" t="str"><v>Bory de St Vincent   </v></cell></row><row r="33"><cell r="M33" t="str"><v>ALG</v></cell><cell r="N33"><v>2</v></cell></row><row r="33"><cell r="P33" t="str"><v>IBMR</v></cell></row><row r="34"><cell r="A34" t="str"><v>DRA.SPX</v></cell><cell r="B34" t="str"><v>Draparnaldia sp.  </v></cell><cell r="C34"><v>18</v></cell><cell r="D34"><v>3</v></cell><cell r="E34" t="str"><v>Bory de St Vincent   </v></cell></row><row r="34"><cell r="M34" t="str"><v>ALG</v></cell><cell r="N34"><v>2</v></cell></row><row r="34"><cell r="P34" t="str"><v>IBMR</v></cell></row><row r="35"><cell r="A35" t="str"><v>ENT.SPX</v></cell><cell r="B35" t="str"><v>Enteromorpha intestinalis</v></cell><cell r="C35"><v>3</v></cell><cell r="D35"><v>2</v></cell><cell r="E35" t="str"><v>(L.) Nees</v></cell><cell r="F35" t="str"><v>Enteromorpha compressa (L.) Greville</v></cell><cell r="G35" t="str"><v>Ulva intestinalis L.</v></cell></row><row r="35"><cell r="M35" t="str"><v>ALG</v></cell><cell r="N35"><v>2</v></cell></row><row r="35"><cell r="P35" t="str"><v>IBMR</v></cell></row><row r="36"><cell r="A36" t="str"><v>HER.SPX</v></cell><cell r="B36" t="str"><v>Heribaudiella sp.</v></cell></row><row r="36"><cell r="E36" t="str"><v>Gomont      </v></cell></row><row r="36"><cell r="M36" t="str"><v>ALG</v></cell><cell r="N36"><v>2</v></cell></row><row r="37"><cell r="A37" t="str"><v>HIL.SPX</v></cell><cell r="B37" t="str"><v>Hildenbrandia rivularis</v></cell><cell r="C37"><v>15</v></cell><cell r="D37"><v>2</v></cell><cell r="E37" t="str"><v>(Liebm.) J.Agardh</v></cell><cell r="F37" t="str"><v>Erythroclathrus rivularis Liebm.</v></cell></row><row r="37"><cell r="M37" t="str"><v>ALG</v></cell><cell r="N37"><v>2</v></cell></row><row r="37"><cell r="P37" t="str"><v>IBMR</v></cell></row><row r="38"><cell r="A38" t="str"><v>HOM.SPX</v></cell><cell r="B38" t="str"><v>Homeothrix sp.</v></cell></row><row r="38"><cell r="E38" t="str"><v>(Thuret) Kirchner (janthina)</v></cell></row><row r="38"><cell r="M38" t="str"><v>ALG</v></cell><cell r="N38"><v>2</v></cell></row><row r="39"><cell r="A39" t="str"><v>HYI.SPX</v></cell><cell r="B39" t="str"><v>Hydrodictyon reticulatum</v></cell><cell r="C39"><v>6</v></cell><cell r="D39"><v>2</v></cell><cell r="E39" t="str"><v>Roth      </v></cell></row><row r="39"><cell r="M39" t="str"><v>ALG</v></cell><cell r="N39"><v>2</v></cell></row><row r="39"><cell r="P39" t="str"><v>IBMR</v></cell></row><row r="40"><cell r="A40" t="str"><v>HYU.SPX</v></cell><cell r="B40" t="str"><v>Hydrurus foetidus</v></cell><cell r="C40"><v>16</v></cell><cell r="D40"><v>2</v></cell><cell r="E40" t="str"><v>C. Agardh     </v></cell></row><row r="40"><cell r="M40" t="str"><v>ALG</v></cell><cell r="N40"><v>2</v></cell></row><row r="40"><cell r="P40" t="str"><v>IBMR</v></cell></row><row r="41"><cell r="A41" t="str"><v>LEA.SPX</v></cell><cell r="B41" t="str"><v>Lemanea gr. fluviatilis</v></cell><cell r="C41"><v>15</v></cell><cell r="D41"><v>2</v></cell><cell r="E41" t="str"><v>(L.) C.Agardh</v></cell><cell r="F41" t="str"><v>Conferva fluviatilis  L.</v></cell></row><row r="41"><cell r="M41" t="str"><v>ALG</v></cell><cell r="N41"><v>2</v></cell></row><row r="41"><cell r="P41" t="str"><v>IBMR</v></cell></row><row r="42"><cell r="A42" t="str"><v>LYN.SPX</v></cell><cell r="B42" t="str"><v>Lyngbya sp.</v></cell><cell r="C42"><v>10</v></cell><cell r="D42"><v>2</v></cell><cell r="E42" t="str"><v>C. Agardh     </v></cell></row><row r="42"><cell r="M42" t="str"><v>ALG</v></cell><cell r="N42"><v>2</v></cell></row><row r="42"><cell r="P42" t="str"><v>IBMR</v></cell></row><row r="43"><cell r="A43" t="str"><v>MEL.SPX</v></cell><cell r="B43" t="str"><v>Melosira sp.</v></cell><cell r="C43"><v>10</v></cell><cell r="D43"><v>1</v></cell><cell r="E43" t="str"><v>C. Agardh     </v></cell></row><row r="43"><cell r="M43" t="str"><v>ALG</v></cell><cell r="N43"><v>2</v></cell></row><row r="43"><cell r="P43" t="str"><v>IBMR</v></cell></row><row r="44"><cell r="A44" t="str"><v>MER.SPX</v></cell><cell r="B44" t="str"><v>Merismopedia sp.</v></cell></row><row r="44"><cell r="E44" t="str"><v>Meyen</v></cell><cell r="F44" t="str"><v>Agmenellum Bréb.</v></cell></row><row r="44"><cell r="M44" t="str"><v>ALG</v></cell><cell r="N44"><v>2</v></cell></row><row r="45"><cell r="A45" t="str"><v>MIR.SPX</v></cell><cell r="B45" t="str"><v>Microcoleus sp.</v></cell></row><row r="45"><cell r="E45" t="str"><v>Desmazières      </v></cell></row><row r="45"><cell r="M45" t="str"><v>ALG</v></cell><cell r="N45"><v>2</v></cell></row><row r="46"><cell r="A46" t="str"><v>MIO.AER</v></cell><cell r="B46" t="str"><v>Microscystis aeruginosa</v></cell></row><row r="46"><cell r="E46" t="str"><v>Kütz. em. Elenkin</v></cell><cell r="F46" t="str"><v>Microcystis flos-aquae (Wittr.) Kirchn.</v></cell></row><row r="46"><cell r="M46" t="str"><v>ALG</v></cell><cell r="N46"><v>2</v></cell></row><row r="47"><cell r="A47" t="str"><v>MIO.SPX</v></cell><cell r="B47" t="str"><v>Microscystis sp.</v></cell></row><row r="47"><cell r="E47" t="str"><v>Kützing      </v></cell></row><row r="47"><cell r="M47" t="str"><v>ALG</v></cell><cell r="N47"><v>2</v></cell></row><row r="48"><cell r="A48" t="str"><v>MIC.SPX</v></cell><cell r="B48" t="str"><v>Microspora sp.</v></cell><cell r="C48"><v>12</v></cell><cell r="D48"><v>2</v></cell><cell r="E48" t="str"><v>Thuret      </v></cell></row><row r="48"><cell r="M48" t="str"><v>ALG</v></cell><cell r="N48"><v>2</v></cell></row><row r="48"><cell r="P48" t="str"><v>IBMR</v></cell></row><row r="49"><cell r="A49" t="str"><v>MOO.SPX</v></cell><cell r="B49" t="str"><v>Monostroma sp.</v></cell><cell r="C49"><v>13</v></cell><cell r="D49"><v>2</v></cell><cell r="E49" t="str"><v>Thuret      </v></cell></row><row r="49"><cell r="M49" t="str"><v>ALG</v></cell><cell r="N49"><v>2</v></cell></row><row r="49"><cell r="P49" t="str"><v>IBMR</v></cell></row><row r="50"><cell r="A50" t="str"><v>MOU.SPX</v></cell><cell r="B50" t="str"><v>Mougeotia sp.</v></cell><cell r="C50"><v>13</v></cell><cell r="D50"><v>2</v></cell><cell r="E50" t="str"><v>C. Agardh     </v></cell></row><row r="50"><cell r="M50" t="str"><v>ALG</v></cell><cell r="N50"><v>2</v></cell></row><row r="50"><cell r="P50" t="str"><v>IBMR</v></cell></row><row r="51"><cell r="A51" t="str"><v>NIT.CAP</v></cell><cell r="B51" t="str"><v>Nitella capillaris</v></cell></row><row r="51"><cell r="E51" t="str"><v>(Krok.) J. groves & Bullock Webster </v></cell></row><row r="51"><cell r="M51" t="str"><v>ALG</v></cell><cell r="N51"><v>2</v></cell></row><row r="52"><cell r="A52" t="str"><v>NIT.FLE</v></cell><cell r="B52" t="str"><v>Nitella flexilis</v></cell><cell r="C52"><v>14</v></cell><cell r="D52"><v>2</v></cell><cell r="E52" t="str"><v>L., Agardh     </v></cell><cell r="F52" t="str"><v>Chara flexilis L.</v></cell><cell r="G52" t="str"><v>Nitella opaca (Bruzelius) C.Agardh</v></cell></row><row r="52"><cell r="M52" t="str"><v>ALG</v></cell><cell r="N52"><v>2</v></cell></row><row r="52"><cell r="P52" t="str"><v>IBMR</v></cell></row><row r="53"><cell r="A53" t="str"><v>NIT.GRA</v></cell><cell r="B53" t="str"><v>Nitella gracilis</v></cell><cell r="C53"><v>14</v></cell><cell r="D53"><v>2</v></cell><cell r="E53" t="str"><v>(Smith) Agardh     </v></cell><cell r="F53" t="str"><v>Chara gracilis Sm.</v></cell></row><row r="53"><cell r="M53" t="str"><v>ALG</v></cell><cell r="N53"><v>2</v></cell></row><row r="53"><cell r="P53" t="str"><v>IBMR</v></cell></row><row r="54"><cell r="A54" t="str"><v>NIT.MUC</v></cell><cell r="B54" t="str"><v>Nitella mucronata</v></cell><cell r="C54"><v>14</v></cell><cell r="D54"><v>2</v></cell><cell r="E54" t="str"><v>(A. Braun) Miquel    </v></cell><cell r="F54" t="str"><v>Chara mucronata A. Braun</v></cell><cell r="G54" t="str"><v>Nitella furcata subsp mucronata (A.Braun) R.D.Wood</v></cell></row><row r="54"><cell r="M54" t="str"><v>ALG</v></cell><cell r="N54"><v>2</v></cell></row><row r="54"><cell r="P54" t="str"><v>IBMR</v></cell></row><row r="55"><cell r="A55" t="str"><v>NIT.OPA</v></cell><cell r="B55" t="str"><v>Nitella opaca</v></cell></row><row r="55"><cell r="E55" t="str"><v>(Bruzelius) C.Agardh</v></cell><cell r="F55" t="str"><v>Chara opaca Bruzelius.</v></cell></row><row r="55"><cell r="M55" t="str"><v>ALG</v></cell><cell r="N55"><v>2</v></cell></row><row r="56"><cell r="A56" t="str"><v>NIT.SPX</v></cell><cell r="B56" t="str"><v>Nitella sp.      </v></cell></row><row r="56"><cell r="E56" t="str"><v>C. Agardh     </v></cell></row><row r="56"><cell r="M56" t="str"><v>ALG</v></cell><cell r="N56"><v>2</v></cell></row><row r="57"><cell r="A57" t="str"><v>NIT.TEN</v></cell><cell r="B57" t="str"><v>Nitella tenuissima</v></cell></row><row r="57"><cell r="E57" t="str"><v>(Desv.) Kütz.</v></cell><cell r="F57" t="str"><v>Chara tenuissima Desv.</v></cell></row><row r="57"><cell r="M57" t="str"><v>ALG</v></cell><cell r="N57"><v>2</v></cell></row><row r="58"><cell r="A58" t="str"><v>NIT.TRA</v></cell><cell r="B58" t="str"><v>Nitella translucens</v></cell></row><row r="58"><cell r="E58" t="str"><v>(Pers.) Agardh     </v></cell><cell r="F58" t="str"><v>Chara translucens Pers.</v></cell></row><row r="58"><cell r="M58" t="str"><v>ALG</v></cell><cell r="N58"><v>2</v></cell></row><row r="59"><cell r="A59" t="str"><v>NIE.OBT</v></cell><cell r="B59" t="str"><v>Nitellopsis obtusa</v></cell></row><row r="59"><cell r="E59" t="str"><v>(Desv.) J. Groves    </v></cell><cell r="F59" t="str"><v>Chara obtusa Desv.</v></cell></row><row r="59"><cell r="M59" t="str"><v>ALG</v></cell><cell r="N59"><v>2</v></cell></row><row r="60"><cell r="A60" t="str"><v>NIE.SPX</v></cell><cell r="B60" t="str"><v>Nitellopsis sp.</v></cell></row><row r="60"><cell r="E60" t="str"><v>Hy</v></cell></row><row r="60"><cell r="M60" t="str"><v>ALG</v></cell><cell r="N60"><v>2</v></cell></row><row r="61"><cell r="A61" t="str"><v>NOS.SPX</v></cell><cell r="B61" t="str"><v>Nostoc sp.       </v></cell><cell r="C61"><v>9</v></cell><cell r="D61"><v>1</v></cell><cell r="E61" t="str"><v>Vaucher      </v></cell></row><row r="61"><cell r="M61" t="str"><v>ALG</v></cell><cell r="N61"><v>2</v></cell></row><row r="61"><cell r="P61" t="str"><v>IBMR</v></cell></row><row r="62"><cell r="A62" t="str"><v>OED.SPX</v></cell><cell r="B62" t="str"><v>Oedogonium sp.</v></cell><cell r="C62"><v>6</v></cell><cell r="D62"><v>2</v></cell><cell r="E62" t="str"><v>Link      </v></cell></row><row r="62"><cell r="M62" t="str"><v>ALG</v></cell><cell r="N62"><v>2</v></cell></row><row r="62"><cell r="P62" t="str"><v>IBMR</v></cell></row><row r="63"><cell r="A63" t="str"><v>OSC.SPX</v></cell><cell r="B63" t="str"><v>Oscillatoria sp.       </v></cell><cell r="C63"><v>11</v></cell><cell r="D63"><v>1</v></cell><cell r="E63" t="str"><v>Vaucher      </v></cell></row><row r="63"><cell r="M63" t="str"><v>ALG</v></cell><cell r="N63"><v>2</v></cell></row><row r="63"><cell r="P63" t="str"><v>IBMR</v></cell></row><row r="64"><cell r="A64" t="str"><v>PHO.SPX</v></cell><cell r="B64" t="str"><v>Phormidium sp.</v></cell><cell r="C64"><v>13</v></cell><cell r="D64"><v>2</v></cell><cell r="E64" t="str"><v>Kützing      </v></cell></row><row r="64"><cell r="M64" t="str"><v>ALG</v></cell><cell r="N64"><v>2</v></cell></row><row r="64"><cell r="P64" t="str"><v>IBMR</v></cell></row><row r="65"><cell r="A65" t="str"><v>PLE.SPX</v></cell><cell r="B65" t="str"><v>Plectonema sp.       </v></cell></row><row r="65"><cell r="E65" t="str"><v>Thuret      </v></cell></row><row r="65"><cell r="M65" t="str"><v>ALG</v></cell><cell r="N65"><v>2</v></cell></row><row r="66"><cell r="A66" t="str"><v>PSE.SPX</v></cell><cell r="B66" t="str"><v>Pseudanabaena sp.</v></cell></row><row r="66"><cell r="E66" t="str"><v>Lauterborn      </v></cell></row><row r="66"><cell r="M66" t="str"><v>ALG</v></cell><cell r="N66"><v>2</v></cell></row><row r="67"><cell r="A67" t="str"><v>PSU.SPX</v></cell><cell r="B67" t="str"><v>Pseudendoclonium sp.       </v></cell></row><row r="67"><cell r="E67" t="str"><v>Wille      </v></cell></row><row r="67"><cell r="M67" t="str"><v>ALG</v></cell><cell r="N67"><v>2</v></cell></row><row r="68"><cell r="A68" t="str"><v>RAD.SPX</v></cell><cell r="B68" t="str"><v>Radiofilum sp.       </v></cell></row><row r="68"><cell r="E68" t="str"><v>Scmidle      </v></cell></row><row r="68"><cell r="M68" t="str"><v>ALG</v></cell><cell r="N68"><v>2</v></cell></row><row r="69"><cell r="A69" t="str"><v>RHI.SPX</v></cell><cell r="B69" t="str"><v>Rhizoclonium sp.       </v></cell><cell r="C69"><v>4</v></cell><cell r="D69"><v>2</v></cell><cell r="E69" t="str"><v>Kützing      </v></cell></row><row r="69"><cell r="M69" t="str"><v>ALG</v></cell><cell r="N69"><v>2</v></cell></row><row r="69"><cell r="P69" t="str"><v>IBMR</v></cell></row><row r="70"><cell r="A70" t="str"><v>RIV.SPX</v></cell><cell r="B70" t="str"><v>Rivularia sp.       </v></cell></row><row r="70"><cell r="E70" t="str"><v>Roth.      </v></cell></row><row r="70"><cell r="M70" t="str"><v>ALG</v></cell><cell r="N70"><v>2</v></cell></row><row r="71"><cell r="A71" t="str"><v>SCH.SPX</v></cell><cell r="B71" t="str"><v>Schizomeris sp.</v></cell><cell r="C71"><v>1</v></cell><cell r="D71"><v>3</v></cell><cell r="E71" t="str"><v>Kützing      </v></cell></row><row r="71"><cell r="M71" t="str"><v>ALG</v></cell><cell r="N71"><v>2</v></cell></row><row r="71"><cell r="P71" t="str"><v>IBMR</v></cell></row><row r="72"><cell r="A72" t="str"><v>SCZ.SPX</v></cell><cell r="B72" t="str"><v>Schizothrix sp.       </v></cell></row><row r="72"><cell r="E72" t="str"><v>Kützing      </v></cell></row><row r="72"><cell r="M72" t="str"><v>ALG</v></cell><cell r="N72"><v>2</v></cell></row><row r="73"><cell r="A73" t="str"><v>SCY.SPX</v></cell><cell r="B73" t="str"><v>Scytonema sp.</v></cell></row><row r="73"><cell r="E73" t="str"><v>C. Agardh      </v></cell></row><row r="73"><cell r="M73" t="str"><v>ALG</v></cell><cell r="N73"><v>2</v></cell></row><row r="74"><cell r="A74" t="str"><v>SIR.SPX</v></cell><cell r="B74" t="str"><v>Sirogonium sp.</v></cell><cell r="C74"><v>12</v></cell><cell r="D74"><v>2</v></cell><cell r="E74" t="str"><v>Kützing      </v></cell></row><row r="74"><cell r="M74" t="str"><v>ALG</v></cell><cell r="N74"><v>2</v></cell></row><row r="74"><cell r="P74" t="str"><v>IBMR</v></cell></row><row r="75"><cell r="A75" t="str"><v>SPE.SPX</v></cell><cell r="B75" t="str"><v>Sphaerocystis sp.       </v></cell></row><row r="75"><cell r="E75" t="str"><v>Chodat      </v></cell></row><row r="75"><cell r="M75" t="str"><v>ALG</v></cell><cell r="N75"><v>2</v></cell></row><row r="76"><cell r="A76" t="str"><v>SPI.SPX</v></cell><cell r="B76" t="str"><v>Spirogyra sp.       </v></cell><cell r="C76"><v>10</v></cell><cell r="D76"><v>1</v></cell><cell r="E76" t="str"><v>Link      </v></cell></row><row r="76"><cell r="M76" t="str"><v>ALG</v></cell><cell r="N76"><v>2</v></cell></row><row r="76"><cell r="P76" t="str"><v>IBMR</v></cell></row><row r="77"><cell r="A77" t="str"><v>SPU.SPX</v></cell><cell r="B77" t="str"><v>Spirulina sp.</v></cell></row><row r="77"><cell r="E77" t="str"><v>(Turpin) Gomont</v></cell></row><row r="77"><cell r="M77" t="str"><v>ALG</v></cell><cell r="N77"><v>2</v></cell></row><row r="78"><cell r="A78" t="str"><v>STI.SPX</v></cell><cell r="B78" t="str"><v>Stigeoclonium sp.</v></cell><cell r="C78"><v>13</v></cell><cell r="D78"><v>2</v></cell><cell r="E78" t="str"><v>Kützing      </v></cell><cell r="F78" t="str"><v>Myxonema Fries</v></cell><cell r="G78" t="str"><v>Caespitella Vischer</v></cell></row><row r="78"><cell r="M78" t="str"><v>ALG</v></cell><cell r="N78"><v>2</v></cell></row><row r="78"><cell r="P78" t="str"><v>IBMR</v></cell></row><row r="79"><cell r="A79" t="str"><v>STI.TEN</v></cell><cell r="B79" t="str"><v>Stigeoclonium tenue       </v></cell><cell r="C79"><v>1</v></cell><cell r="D79"><v>3</v></cell><cell r="E79" t="str"><v>Kützing      </v></cell><cell r="F79" t="str"><v>Stigeoclonium uniforme (C.Agardh) Rabenh.</v></cell></row><row r="79"><cell r="M79" t="str"><v>ALG</v></cell><cell r="N79"><v>2</v></cell></row><row r="79"><cell r="P79" t="str"><v>IBMR</v></cell></row><row r="80"><cell r="A80" t="str"><v>TET.SPX</v></cell><cell r="B80" t="str"><v>Tetraspora sp.       </v></cell><cell r="C80"><v>12</v></cell><cell r="D80"><v>1</v></cell><cell r="E80" t="str"><v>Link      </v></cell></row><row r="80"><cell r="M80" t="str"><v>ALG</v></cell><cell r="N80"><v>2</v></cell></row><row r="80"><cell r="P80" t="str"><v>IBMR</v></cell></row><row r="81"><cell r="A81" t="str"><v>THO.SPX</v></cell><cell r="B81" t="str"><v>Thorea hispida (T. ramossissima)</v></cell><cell r="C81"><v>14</v></cell><cell r="D81"><v>3</v></cell><cell r="E81" t="str"><v>(Thore) Desv.</v></cell><cell r="F81" t="str"><v>Conferva hispida  Thore</v></cell><cell r="G81" t="str"><v>Thorea andina Lagerh. et K.Möbius</v></cell></row><row r="81"><cell r="M81" t="str"><v>ALG</v></cell><cell r="N81"><v>2</v></cell></row><row r="81"><cell r="P81" t="str"><v>IBMR</v></cell></row><row r="82"><cell r="A82" t="str"><v>TOL.GLO</v></cell><cell r="B82" t="str"><v>Tolypella glomerata</v></cell><cell r="C82"><v>12</v></cell><cell r="D82"><v>2</v></cell><cell r="E82" t="str"><v>(Desv.) Leonh.</v></cell><cell r="F82" t="str"><v>Chara glomerata Desv.</v></cell></row><row r="82"><cell r="M82" t="str"><v>ALG</v></cell><cell r="N82"><v>2</v></cell></row><row r="82"><cell r="P82" t="str"><v>IBMR</v></cell></row><row r="83"><cell r="A83" t="str"><v>TOL.INT</v></cell><cell r="B83" t="str"><v>Tolypella intricata</v></cell></row><row r="83"><cell r="E83" t="str"><v>(Trentep. ex Roth.) Leonh.</v></cell><cell r="F83" t="str"><v>Chara intricata Trentep. ex Roth</v></cell></row><row r="83"><cell r="M83" t="str"><v>ALG</v></cell><cell r="N83"><v>2</v></cell></row><row r="84"><cell r="A84" t="str"><v>TOL.PRO</v></cell><cell r="B84" t="str"><v>Tolypella prolifera</v></cell><cell r="C84"><v>15</v></cell><cell r="D84"><v>3</v></cell><cell r="E84" t="str"><v>(Ziz ex A.Braun) Leonh.</v></cell><cell r="F84" t="str"><v>Chara prolifera Ziz  ex A.Braun</v></cell></row><row r="84"><cell r="M84" t="str"><v>ALG</v></cell><cell r="N84"><v>2</v></cell></row><row r="84"><cell r="P84" t="str"><v>IBMR</v></cell></row><row r="85"><cell r="A85" t="str"><v>TOL.SPX</v></cell><cell r="B85" t="str"><v>Tolypella sp.</v></cell></row><row r="85"><cell r="E85" t="str"><v>(A.Braun) A.Braun</v></cell></row><row r="85"><cell r="M85" t="str"><v>ALG</v></cell><cell r="N85"><v>2</v></cell></row><row r="86"><cell r="A86" t="str"><v>TOY.SPX</v></cell><cell r="B86" t="str"><v>Tolypothrix sp.</v></cell></row><row r="86"><cell r="E86" t="str"><v>Kützing      </v></cell></row><row r="86"><cell r="M86" t="str"><v>ALG</v></cell><cell r="N86"><v>2</v></cell></row><row r="87"><cell r="A87" t="str"><v>TRI.SPX</v></cell><cell r="B87" t="str"><v>Tribonema sp.</v></cell><cell r="C87"><v>11</v></cell><cell r="D87"><v>2</v></cell><cell r="E87" t="str"><v>Derbès & Solier    </v></cell></row><row r="87"><cell r="M87" t="str"><v>ALG</v></cell><cell r="N87"><v>2</v></cell></row><row r="87"><cell r="P87" t="str"><v>IBMR</v></cell></row><row r="88"><cell r="A88" t="str"><v>ULO.SPX</v></cell><cell r="B88" t="str"><v>Ulothrix sp.       </v></cell><cell r="C88"><v>10</v></cell><cell r="D88"><v>1</v></cell><cell r="E88" t="str"><v>Kützing      </v></cell><cell r="F88" t="str"><v>Personiella F.E.Fritsch et M.F.Rich</v></cell></row><row r="88"><cell r="M88" t="str"><v>ALG</v></cell><cell r="N88"><v>2</v></cell></row><row r="88"><cell r="P88" t="str"><v>IBMR</v></cell></row><row r="89"><cell r="A89" t="str"><v>VAU.SPX</v></cell><cell r="B89" t="str"><v>Vaucheria sp.</v></cell><cell r="C89"><v>4</v></cell><cell r="D89"><v>1</v></cell><cell r="E89" t="str"><v>de Candolle     </v></cell></row><row r="89"><cell r="M89" t="str"><v>ALG</v></cell><cell r="N89"><v>2</v></cell></row><row r="89"><cell r="P89" t="str"><v>IBMR</v></cell></row><row r="90"><cell r="A90" t="str"><v>ZYG.SPX</v></cell><cell r="B90" t="str"><v>Zygnema sp.       </v></cell><cell r="C90"><v>13</v></cell><cell r="D90"><v>3</v></cell><cell r="E90" t="str"><v>C. Agardh     </v></cell></row><row r="90"><cell r="M90" t="str"><v>ALG</v></cell><cell r="N90"><v>2</v></cell></row><row r="90"><cell r="P90" t="str"><v>IBMR</v></cell></row><row r="91"><cell r="B91" t="str"><v>- LICHENS -</v></cell></row><row r="91"><cell r="E91" t="str"><v>      </v></cell></row><row r="91"><cell r="M91" t="str"><v>LI</v></cell><cell r="N91"><v>2.9</v></cell></row><row r="91"><cell r="P91" t="str"><v>IBMR</v></cell></row><row r="92"><cell r="A92" t="str"><v>COL.FLU</v></cell><cell r="B92" t="str"><v>Collema fluviatile</v></cell><cell r="C92"><v>17</v></cell><cell r="D92"><v>3</v></cell><cell r="E92" t="str"><v>      </v></cell></row><row r="92"><cell r="M92" t="str"><v>LIC</v></cell><cell r="N92"><v>3</v></cell></row><row r="92"><cell r="P92" t="str"><v>IBMR</v></cell></row><row r="93"><cell r="A93" t="str"><v>COL.SPX</v></cell><cell r="B93" t="str"><v>Collema sp.</v></cell></row><row r="93"><cell r="E93" t="str"><v>      </v></cell></row><row r="93"><cell r="M93" t="str"><v>LIC</v></cell><cell r="N93"><v>3</v></cell></row><row r="94"><cell r="A94" t="str"><v>DER.SPX</v></cell><cell r="B94" t="str"><v>Dermatocarpon sp.</v></cell></row><row r="94"><cell r="E94" t="str"><v>      </v></cell></row><row r="94"><cell r="M94" t="str"><v>LIC</v></cell><cell r="N94"><v>3</v></cell></row><row r="95"><cell r="A95" t="str"><v>DER.WEB</v></cell><cell r="B95" t="str"><v>Dermatocarpon weberi</v></cell><cell r="C95"><v>16</v></cell><cell r="D95"><v>3</v></cell><cell r="E95" t="str"><v>      </v></cell></row><row r="95"><cell r="M95" t="str"><v>LIC</v></cell><cell r="N95"><v>3</v></cell></row><row r="95"><cell r="P95" t="str"><v>IBMR</v></cell></row><row r="96"><cell r="B96" t="str"><v>- BRYOPHYTES -</v></cell></row><row r="96"><cell r="E96" t="str"><v>      </v></cell></row><row r="96"><cell r="M96" t="str"><v>BR</v></cell><cell r="N96"><v>3.8</v></cell></row><row r="96"><cell r="P96" t="str"><v>IBMR</v></cell></row><row r="97"><cell r="B97" t="str"><v>- HEPATIQUES</v></cell></row><row r="97"><cell r="E97" t="str"><v>      </v></cell></row><row r="97"><cell r="M97" t="str"><v>BR</v></cell><cell r="N97"><v>4</v></cell></row><row r="97"><cell r="P97" t="str"><v>IBMR</v></cell></row><row r="98"><cell r="A98" t="str"><v>ANE.PIN</v></cell><cell r="B98" t="str"><v>Aneura pinguis (Riccardia pinguis)</v></cell><cell r="C98"><v>14</v></cell><cell r="D98"><v>2</v></cell><cell r="E98" t="str"><v>(L.) Dumort.    </v></cell><cell r="F98" t="str"><v>Riccardia pinguis (L.) Gray</v></cell><cell r="G98" t="str"><v>Jungermannia pinguis L.</v></cell></row><row r="98"><cell r="M98" t="str"><v>BRh</v></cell><cell r="N98"><v>4</v></cell></row><row r="98"><cell r="P98" t="str"><v>IBMR</v></cell></row><row r="99"><cell r="A99" t="str"><v>CAY.ARG</v></cell><cell r="B99" t="str"><v>Calypogeia arguta</v></cell></row><row r="99"><cell r="E99" t="str"><v>Nees & Mont.    </v></cell><cell r="F99" t="str"><v>Cincinnulus argutus (Nees & Mont.) Dumort.</v></cell><cell r="G99" t="str"><v>Kantia arguta (Nees & Mont.) Lindb.</v></cell></row><row r="99"><cell r="M99" t="str"><v>BRh</v></cell><cell r="N99"><v>4</v></cell></row><row r="100"><cell r="A100" t="str"><v>CAY.FIS</v></cell><cell r="B100" t="str"><v>Calypogeia fissa</v></cell></row><row r="100"><cell r="E100" t="str"><v> (L.) Raddi       </v></cell><cell r="F100" t="str"><v>Mnium fissum L.</v></cell><cell r="G100" t="str"><v>Jungermannia calypogeia Raddi</v></cell><cell r="H100" t="str"><v>Jungermannia fissa Scop.</v></cell><cell r="I100" t="str"><v>Jungermannia sprengelii Mart.</v></cell><cell r="J100" t="str"><v>Kantia calypogeia Lindb.</v></cell><cell r="K100" t="str"><v>Kantia sprengelii Pearson</v></cell></row><row r="100"><cell r="M100" t="str"><v>BRh</v></cell><cell r="N100"><v>4</v></cell></row><row r="101"><cell r="A101" t="str"><v>CAY.SPX</v></cell><cell r="B101" t="str"><v>Calypogeia sp.</v></cell></row><row r="101"><cell r="E101" t="str"><v>Raddi</v></cell></row><row r="101"><cell r="M101" t="str"><v>BRh</v></cell><cell r="N101"><v>4</v></cell></row><row r="102"><cell r="A102" t="str"><v>CHI.COA</v></cell><cell r="B102" t="str"><v>Chiloscyphus coadunatus</v></cell></row><row r="102"><cell r="E102" t="str"><v>(Sw.) J.J. engel & R.M. Schust.</v></cell><cell r="F102" t="str"><v>Lophocolea bidentata (L.) Dumort.</v></cell><cell r="G102" t="str"><v>Lophocolea alata (Nees) Schiffn.</v></cell><cell r="H102" t="str"><v>Lophocolea cuspidata (Nees) Limpr.</v></cell><cell r="I102" t="str"><v>Chiloscyphus cuspidatus (Nees) J.J. Engel & R.M. Schust.</v></cell><cell r="J102" t="str"><v>Chiloscyphus latifolius (Nees) J.J. Engel & R.M. Schust.</v></cell><cell r="K102" t="str"><v>Jungermannia coadunata Sw.</v></cell><cell r="L102" t="str"><v>Jungermannia bidentata L.</v></cell><cell r="M102" t="str"><v>BRh</v></cell><cell r="N102"><v>4</v></cell></row><row r="103"><cell r="A103" t="str"><v>CHI.PAL</v></cell><cell r="B103" t="str"><v>Chiloscyphus pallescens</v></cell><cell r="C103"><v>14</v></cell><cell r="D103"><v>2</v></cell><cell r="E103" t="str"><v>(Ehrh. ex Hoffm.) Dumort.   </v></cell><cell r="F103" t="str"><v>Chiloscyphus polyanthos var. pallescens (Ehrh. ex Hoffm.) C. Hartm.</v></cell><cell r="G103" t="str"><v>Chiloscyphus polyanthos var. fragilis (Roth.) Müll. Frib.</v></cell><cell r="H103" t="str"><v>Jungermannia pallescens Ehrh. ex Hoffm.</v></cell></row><row r="103"><cell r="M103" t="str"><v>BRh</v></cell><cell r="N103"><v>4</v></cell></row><row r="103"><cell r="P103" t="str"><v>IBMR</v></cell></row><row r="104"><cell r="A104" t="str"><v>CHI.POL</v></cell><cell r="B104" t="str"><v>Chiloscyphus polyanthos var. polyanthos (C. polyanthos)</v></cell><cell r="C104"><v>15</v></cell><cell r="D104"><v>2</v></cell><cell r="E104" t="str"><v>L. Corda</v></cell><cell r="F104" t="str"><v>Chiloscyphus polyanthos var. rivularis (Schrad.) Nees</v></cell><cell r="G104" t="str"><v>Chiloscyphus polyanthos var. polyanthos fo. rivularis L. Corda </v></cell><cell r="H104" t="str"><v>Jungermannia polyanthos L.</v></cell></row><row r="104"><cell r="M104" t="str"><v>BRh</v></cell><cell r="N104"><v>4</v></cell></row><row r="104"><cell r="P104" t="str"><v>IBMR</v></cell></row><row r="105"><cell r="A105" t="str"><v>CHI.SPX</v></cell><cell r="B105" t="str"><v>Chiloscyphus sp.</v></cell></row><row r="105"><cell r="E105" t="str"><v>Corda</v></cell></row><row r="105"><cell r="M105" t="str"><v>BRh</v></cell><cell r="N105"><v>4</v></cell></row><row r="106"><cell r="A106" t="str"><v>CON.CON</v></cell><cell r="B106" t="str"><v>Conocephalum conicum</v></cell></row><row r="106"><cell r="E106" t="str"><v>(L.) Dumort.     </v></cell><cell r="F106" t="str"><v>Marchantia conica L.</v></cell><cell r="G106" t="str"><v>Conocephalum Kiaeri (Kaal.) Grolle</v></cell><cell r="H106" t="str"><v>Conocephalum officinale Trevis</v></cell><cell r="I106" t="str"><v>Conocephalum trioicum F. Weber</v></cell><cell r="J106" t="str"><v>Fegatella conica (L.) Corda</v></cell><cell r="K106" t="str"><v>Fegatella officinalis Raddi</v></cell></row><row r="106"><cell r="M106" t="str"><v>BRh</v></cell><cell r="N106"><v>4</v></cell></row><row r="107"><cell r="A107" t="str"><v>DUM.HIR</v></cell><cell r="B107" t="str"><v>Dumortiera hirsuta</v></cell></row><row r="107"><cell r="E107" t="str"><v>(Sw.) Nees     </v></cell><cell r="F107" t="str"><v>Marchantia hirsuta Sw.</v></cell><cell r="G107" t="str"><v>Dumortiera irrigua (Taylor) Nees</v></cell><cell r="H107" t="str"><v>Hygrophila irrigua Taylor</v></cell><cell r="I107" t="str"><v>Marchantia irrigua (Taylor) Wilson</v></cell></row><row r="107"><cell r="M107" t="str"><v>BRh</v></cell><cell r="N107"><v>4</v></cell></row><row r="108"><cell r="A108" t="str"><v>JUG.ATR</v></cell><cell r="B108" t="str"><v>Jungermannia atrovirens (Solenostoma triste)</v></cell><cell r="C108"><v>19</v></cell><cell r="D108"><v>3</v></cell><cell r="E108" t="str"><v>Dumort.      </v></cell><cell r="F108" t="str"><v>Jungermannia lanceolata L.</v></cell><cell r="G108" t="str"><v>Jungermannia tristis Nees</v></cell><cell r="H108" t="str"><v>Jungermannia riparia Taylor</v></cell><cell r="I108" t="str"><v>Solenostoma atrovirens (Dumort.) Müll. Frib. non Steph.</v></cell><cell r="J108" t="str"><v>Solenostoma triste (Nees) Müll. Frib.</v></cell><cell r="K108" t="str"><v>Aplozia atrovirens (Dumort.) Dumort.</v></cell><cell r="L108" t="str"><v>Aplozia tristis (Nees.) Dumort.</v></cell><cell r="M108" t="str"><v>BRh</v></cell><cell r="N108"><v>4</v></cell></row><row r="108"><cell r="P108" t="str"><v>IBMR</v></cell></row><row r="109"><cell r="A109" t="str"><v>JUG.EXE</v></cell><cell r="B109" t="str"><v>Jungermannia exsertifolia subsp. cordifolia</v></cell></row><row r="109"><cell r="E109" t="str"><v>(Dumort.) Vana    </v></cell><cell r="F109" t="str"><v>Jungermannia cordifolia Hook. non Broth. nec Ehrh. ex F. Weber</v></cell><cell r="G109" t="str"><v>Jungermannia eucordifolia Schljakov</v></cell><cell r="H109" t="str"><v>Solenostoma cordifolium (Dumort.) Steph.</v></cell><cell r="I109" t="str"><v>Aplozia cordifolia Dumort.</v></cell><cell r="J109" t="str"><v>Haplozia cordifolia (Dumort.) Müll. Frib.</v></cell></row><row r="109"><cell r="M109" t="str"><v>BRh</v></cell><cell r="N109"><v>4</v></cell></row><row r="110"><cell r="A110" t="str"><v>JUG.GRA</v></cell><cell r="B110" t="str"><v>Jungermannia gracillima (Solenostoma crenulatum)</v></cell><cell r="C110"><v>20</v></cell><cell r="D110"><v>3</v></cell><cell r="E110" t="str"><v>Sm.      </v></cell><cell r="F110" t="str"><v>Jungermannia crenulata Sm. non Schmidel</v></cell><cell r="G110" t="str"><v>Solenostoma crenulatum Mitt.</v></cell><cell r="H110" t="str"><v>Solenostoma gracillima (Sm.) R.M. Schust.</v></cell><cell r="I110" t="str"><v>Aplozia crenulata (Mitt.) Lindb.</v></cell><cell r="J110" t="str"><v>Aplozia gracillima (Sm.) Dumort.</v></cell><cell r="K110" t="str"><v>Nardia gracillima (Sm.) Lindb.</v></cell></row><row r="110"><cell r="M110" t="str"><v>BRh</v></cell><cell r="N110"><v>4</v></cell></row><row r="110"><cell r="P110" t="str"><v>IBMR</v></cell></row><row r="111"><cell r="A111" t="str"><v>JUG.OBO</v></cell><cell r="B111" t="str"><v>Jungermannia obovata</v></cell></row><row r="111"><cell r="E111" t="str"><v>Nees      </v></cell><cell r="F111" t="str"><v>Jungermannia flaccida Huebener</v></cell><cell r="G111" t="str"><v>Solenostoma obovatum (Nees) C. Massal.</v></cell><cell r="H111" t="str"><v>Mesophylla obovata (Nees) Corbière</v></cell><cell r="I111" t="str"><v>Nardia obovata (Nees) Lindb.</v></cell><cell r="J111" t="str"><v>Plectocolea obovata (Nees) Lindb.</v></cell><cell r="K111" t="str"><v>Aplozia obovata (Nees.) Loeske</v></cell><cell r="L111" t="str"><v>Eucalyx obovata (Nees) Carrington</v></cell><cell r="M111" t="str"><v>BRh</v></cell><cell r="N111"><v>4</v></cell></row><row r="112"><cell r="A112" t="str"><v>JUG.PUM</v></cell><cell r="B112" t="str"><v>Jungermannia pumila       </v></cell></row><row r="112"><cell r="E112" t="str"><v>With.</v></cell><cell r="F112" t="str"><v>Jungermannia karl-muelleri Grolle</v></cell><cell r="G112" t="str"><v>Jungermannia rostellata Huebener</v></cell><cell r="H112" t="str"><v>Jungermannia zeyheri Huebener</v></cell><cell r="I112" t="str"><v>Solenostoma pumilum (With.) Müll. Frib.</v></cell><cell r="J112" t="str"><v>Solenostoma oblongifolium (Müll. Frib.) Müll. Frib.</v></cell><cell r="K112" t="str"><v>Aplozia pumila (With.) Dumort.</v></cell><cell r="L112" t="str"><v>Aplozia oblongifolia (Müll. Frib.) Jörg.</v></cell><cell r="M112" t="str"><v>BRh</v></cell><cell r="N112"><v>4</v></cell></row><row r="113"><cell r="A113" t="str"><v>JUG.SPX</v></cell><cell r="B113" t="str"><v>Jungermannia sp.        </v></cell></row><row r="113"><cell r="E113" t="str"><v>L.</v></cell></row><row r="113"><cell r="M113" t="str"><v>BRh</v></cell><cell r="N113"><v>4</v></cell></row><row r="114"><cell r="A114" t="str"><v>JUG.SPH</v></cell><cell r="B114" t="str"><v>Jungermannia sphaerocarpa</v></cell></row><row r="114"><cell r="E114" t="str"><v>Hook.     </v></cell><cell r="F114" t="str"><v>Jungermannia amplexicaulis Dumort.</v></cell><cell r="G114" t="str"><v>Jungermannia lurida Dumort.</v></cell><cell r="H114" t="str"><v>Jungermannia nana Nees</v></cell><cell r="I114" t="str"><v>Jungermannia tersa Nees</v></cell><cell r="J114" t="str"><v>Solenostoma amplexicaule (Dumort.) Steph.</v></cell><cell r="K114" t="str"><v>Solenostoma sphaerocarpum (Hook.) Steph.</v></cell><cell r="L114" t="str"><v>Aplozia amplexicaulis (Dumort.) Dumort.</v></cell><cell r="M114" t="str"><v>BRh</v></cell><cell r="N114"><v>4</v></cell></row><row r="115"><cell r="A115" t="str"><v>LEJ.SPX</v></cell><cell r="B115" t="str"><v>Lejeunea sp.   </v></cell></row><row r="115"><cell r="E115" t="str"><v>Lib.</v></cell><cell r="F115" t="str"><v>Microlejeunea sp. Steph.</v></cell></row><row r="115"><cell r="M115" t="str"><v>BRh</v></cell><cell r="N115"><v>4</v></cell></row><row r="116"><cell r="A116" t="str"><v>LUN.CRU</v></cell><cell r="B116" t="str"><v>Lunularia cruciata</v></cell></row><row r="116"><cell r="E116" t="str"><v>(L.) Lindb.     </v></cell><cell r="F116" t="str"><v>Lunularia vulgaris Mich.</v></cell><cell r="G116" t="str"><v>Lunularia michelii Le Jolis</v></cell><cell r="H116" t="str"><v>Marchantia cruciata L.</v></cell><cell r="I116" t="str"><v>Marchantia dillenii Le Jolis</v></cell><cell r="J116" t="str"><v>Dichominum cruciatum (L.) Trevis.</v></cell><cell r="K116" t="str"><v>Preissia cucullata Mont. & Ness</v></cell><cell r="L116" t="str"><v>Staurophora pulchella Willd.</v></cell><cell r="M116" t="str"><v>BRh</v></cell><cell r="N116"><v>4</v></cell></row><row r="117"><cell r="A117" t="str"><v>MAC.PAL</v></cell><cell r="B117" t="str"><v>Marchantia paleacea       </v></cell></row><row r="117"><cell r="E117" t="str"><v>Bertol.</v></cell></row><row r="117"><cell r="M117" t="str"><v>BRh</v></cell><cell r="N117"><v>4</v></cell></row><row r="118"><cell r="A118" t="str"><v>MAC.POL</v></cell><cell r="B118" t="str"><v>Marchantia polymorpha      </v></cell></row><row r="118"><cell r="E118" t="str"><v>L.      </v></cell><cell r="F118" t="str"><v>Marchantia alpestris (Nees) Burgeff</v></cell><cell r="G118" t="str"><v>Marchantia aquatica (Nees) Burgeff</v></cell><cell r="H118" t="str"><v>Marchantia vittata Raddi</v></cell></row><row r="118"><cell r="M118" t="str"><v>BRh</v></cell><cell r="N118"><v>4</v></cell></row><row r="119"><cell r="A119" t="str"><v>MAC.SPX</v></cell><cell r="B119" t="str"><v>Marchantia sp.</v></cell></row><row r="119"><cell r="E119" t="str"><v>L.      </v></cell></row><row r="119"><cell r="M119" t="str"><v>BRh</v></cell><cell r="N119"><v>4</v></cell></row><row r="120"><cell r="A120" t="str"><v>MAR.AQU</v></cell><cell r="B120" t="str"><v>Marsupella emarginata var. aquatica (M. aquatica)</v></cell><cell r="C120"><v>19</v></cell><cell r="D120"><v>2</v></cell><cell r="E120" t="str"><v>(Lindenb.) Dumort. </v></cell><cell r="F120" t="str"><v>Marsupella aquatica (Lindenb.) Schiffn. </v></cell><cell r="G120" t="str"><v>Marsupella robusta (De Not.) A. Evans</v></cell><cell r="H120" t="str"><v>Sarcoscyphus emarginatus var. aquatica Nees</v></cell><cell r="I120" t="str"><v>Scarcoscyphus Ehrartii var. robustus De Not.</v></cell><cell r="J120" t="str"><v>Jungermannia aquatica Schrader</v></cell><cell r="K120" t="str"><v>Jungermannia emarginata var. aquatica Lindenb.</v></cell></row><row r="120"><cell r="M120" t="str"><v>BRh</v></cell><cell r="N120"><v>4</v></cell></row><row r="120"><cell r="P120" t="str"><v>IBMR</v></cell></row><row r="121"><cell r="A121" t="str"><v>MAR.EMA</v></cell><cell r="B121" t="str"><v>Marsupella emarginata var. emarginata (M. emarginata)</v></cell><cell r="C121"><v>20</v></cell><cell r="D121"><v>3</v></cell><cell r="E121" t="str"><v>(Ehrh.) Dumort.</v></cell><cell r="F121" t="str"><v>Marsupella emarginata (Ehrh.) Dumort.      </v></cell><cell r="G121" t="str"><v>Sarcoscyphus emarginatus (Ehrh.) C. Hartm.</v></cell><cell r="H121" t="str"><v>Jungermannia emarginata Ehrh.</v></cell></row><row r="121"><cell r="M121" t="str"><v>BRh</v></cell><cell r="N121"><v>4</v></cell></row><row r="121"><cell r="P121" t="str"><v>IBMR</v></cell></row><row r="122"><cell r="A122" t="str"><v>MAR.SPX</v></cell><cell r="B122" t="str"><v>Marsupella sp.        </v></cell></row><row r="122"><cell r="E122" t="str"><v>Dumort.      </v></cell></row><row r="122"><cell r="M122" t="str"><v>BRh</v></cell><cell r="N122"><v>4</v></cell></row><row r="123"><cell r="A123" t="str"><v>MAR.SPH</v></cell><cell r="B123" t="str"><v>Marsupella sphacelata</v></cell></row><row r="123"><cell r="E123" t="str"><v>(Gieseke ex Lindenb.) Dumort.</v></cell><cell r="F123" t="str"><v>Marsupella erythrorhiza Schiffn.</v></cell><cell r="G123" t="str"><v>Marsupella joergensenii Schiffn.</v></cell><cell r="H123" t="str"><v>Marsupella sullivantii (De Not.) A. Evans.</v></cell><cell r="I123" t="str"><v>Jungermannia sphacelata Giesecke ex Lindenb.</v></cell><cell r="J123" t="str"><v>Nardia sphacelata (Gieseke ex Lindenb.) Carrington</v></cell><cell r="K123" t="str"><v>Sarcoscyphus sphacelatus (Gieseke ex Lindenb.) Nees</v></cell><cell r="L123" t="str"><v>Sarcoscyphus sullivantii De Not.</v></cell><cell r="M123" t="str"><v>BRh</v></cell><cell r="N123"><v>4</v></cell></row><row r="124"><cell r="A124" t="str"><v>NAR.COM</v></cell><cell r="B124" t="str"><v>Nardia compressa</v></cell><cell r="C124"><v>20</v></cell><cell r="D124"><v>3</v></cell><cell r="E124" t="str"><v>(Hook.) S.F. Gray     </v></cell><cell r="F124" t="str"><v>Alicularia compressa (Hook.) Gottsche et al.</v></cell><cell r="G124" t="str"><v>Alicularia pachyphylla De Not.</v></cell><cell r="H124" t="str"><v>Jungermannia compressa Hook.</v></cell></row><row r="124"><cell r="M124" t="str"><v>BRh</v></cell><cell r="N124"><v>4</v></cell></row><row r="124"><cell r="P124" t="str"><v>IBMR</v></cell></row><row r="125"><cell r="A125" t="str"><v>NAR.SCA</v></cell><cell r="B125" t="str"><v>Nardia scalaris (N. acicularis )</v></cell><cell r="C125"><v>20</v></cell><cell r="D125"><v>3</v></cell><cell r="E125" t="str"><v>S.F. Gray     </v></cell><cell r="F125" t="str"><v>Nardia acicularis</v></cell><cell r="G125" t="str"><v>Alicularia scalaris (Gray) Corda</v></cell><cell r="H125" t="str"><v>Alicularia rotaeana De Not.</v></cell><cell r="I125" t="str"><v>Mesophylla rotaeana (De Not.) Dumort.</v></cell><cell r="J125" t="str"><v>Mesophylla scalaris (Gray) Dumort.</v></cell></row><row r="125"><cell r="M125" t="str"><v>BRh</v></cell><cell r="N125"><v>4</v></cell></row><row r="125"><cell r="P125" t="str"><v>IBMR</v></cell></row><row r="126"><cell r="A126" t="str"><v>NAR.SPX</v></cell><cell r="B126" t="str"><v>Nardia sp.        </v></cell></row><row r="126"><cell r="E126" t="str"><v>Gray</v></cell></row><row r="126"><cell r="M126" t="str"><v>BRh</v></cell><cell r="N126"><v>4</v></cell></row><row r="127"><cell r="A127" t="str"><v>PEL.END</v></cell><cell r="B127" t="str"><v>Pellia endiviifolia</v></cell></row><row r="127"><cell r="E127" t="str"><v>(Dicks) Dumort.     </v></cell><cell r="F127" t="str"><v>Pellia fabbroniana auct.</v></cell><cell r="G127" t="str"><v>Jungermannia endiviifolia Dicks.</v></cell></row><row r="127"><cell r="M127" t="str"><v>BRh</v></cell><cell r="N127"><v>4</v></cell></row><row r="128"><cell r="A128" t="str"><v>PEL.EPI</v></cell><cell r="B128" t="str"><v>Pellia epiphylla</v></cell></row><row r="128"><cell r="E128" t="str"><v>(L.) Corda     </v></cell><cell r="F128" t="str"><v>Jungermannia epiphylla L.</v></cell><cell r="G128" t="str"><v>Pellia borealis Lorb.</v></cell></row><row r="128"><cell r="M128" t="str"><v>BRh</v></cell><cell r="N128"><v>4</v></cell></row><row r="129"><cell r="A129" t="str"><v>PEL.NEE</v></cell><cell r="B129" t="str"><v>Pellia neesiana</v></cell></row><row r="129"><cell r="E129" t="str"><v>(Gottsche) Limpr.     </v></cell><cell r="F129" t="str"><v>Pellia epiphylla fo. neesiana Gottsche</v></cell></row><row r="129"><cell r="M129" t="str"><v>BRh</v></cell><cell r="N129"><v>4</v></cell></row><row r="130"><cell r="A130" t="str"><v>PEL.SPX</v></cell><cell r="B130" t="str"><v>Pellia sp.</v></cell></row><row r="130"><cell r="E130" t="str"><v>Raddi</v></cell></row><row r="130"><cell r="M130" t="str"><v>BRh</v></cell><cell r="N130"><v>4</v></cell></row><row r="131"><cell r="A131" t="str"><v>PLG.ASP</v></cell><cell r="B131" t="str"><v>Plagiochila asplenioides</v></cell></row><row r="131"><cell r="E131" t="str"><v>(L. emend. Taylor) Dumort.     </v></cell><cell r="F131" t="str"><v>Plagiochila asplenioides var. major Lindenb.</v></cell><cell r="G131" t="str"><v>Plagiochila major (L.) S.W. Arnell</v></cell><cell r="H131" t="str"><v>Jungermannia asplenioides L.</v></cell></row><row r="131"><cell r="M131" t="str"><v>BRh</v></cell><cell r="N131"><v>4</v></cell></row><row r="132"><cell r="A132" t="str"><v>PLG.SPX</v></cell><cell r="B132" t="str"><v>Plagiochila sp.        </v></cell></row><row r="132"><cell r="E132" t="str"><v>Dumort.</v></cell></row><row r="132"><cell r="M132" t="str"><v>BRh</v></cell><cell r="N132"><v>4</v></cell></row><row r="133"><cell r="A133" t="str"><v>POR.COR</v></cell><cell r="B133" t="str"><v>Porella cordaeana</v></cell></row><row r="133"><cell r="E133" t="str"><v>(Huebener) Moore</v></cell><cell r="F133" t="str"><v>Porella denta Lindberg</v></cell><cell r="G133" t="str"><v>Porella rivularis Nees</v></cell><cell r="H133" t="str"><v>Porella cordaeana var. simplicior (Zett.) Lindb.</v></cell><cell r="I133" t="str"><v>Madotheca cordaeana (Huebener) Dumort.</v></cell><cell r="J133" t="str"><v>Madotheca rivularis Nees</v></cell><cell r="K133" t="str"><v>Jungermannia cordaeana Huebener</v></cell></row><row r="133"><cell r="M133" t="str"><v>BRh</v></cell><cell r="N133"><v>4</v></cell></row><row r="134"><cell r="A134" t="str"><v>POR.PIN</v></cell><cell r="B134" t="str"><v>Porella pinnata</v></cell><cell r="C134"><v>12</v></cell><cell r="D134"><v>2</v></cell><cell r="E134" t="str"><v>L.     </v></cell><cell r="F134" t="str"><v>Madotheca porella (Dicks.) Nees</v></cell><cell r="G134" t="str"><v>Jungermannia porella Dicks.</v></cell></row><row r="134"><cell r="M134" t="str"><v>BRh</v></cell><cell r="N134"><v>4</v></cell></row><row r="134"><cell r="P134" t="str"><v>IBMR</v></cell></row><row r="135"><cell r="A135" t="str"><v>POR.SPX</v></cell><cell r="B135" t="str"><v>Porella sp.        </v></cell></row><row r="135"><cell r="E135" t="str"><v>L.     </v></cell></row><row r="135"><cell r="M135" t="str"><v>BRh</v></cell><cell r="N135"><v>4</v></cell></row><row r="136"><cell r="A136" t="str"><v>PRE.QUA</v></cell><cell r="B136" t="str"><v>Preissia quadrata</v></cell></row><row r="136"><cell r="E136" t="str"><v>(Scop.) Nees     </v></cell><cell r="F136" t="str"><v>Preissia commutata Nees</v></cell><cell r="G136" t="str"><v>Preissia hemisphaerica Cogn.</v></cell><cell r="H136" t="str"><v>Marchantia quadrata Scop.</v></cell><cell r="I136" t="str"><v>Conocephalum hemisphaericum Dumort.</v></cell><cell r="J136" t="str"><v>Cyathophora commutata Trevis.</v></cell></row><row r="136"><cell r="M136" t="str"><v>BRh</v></cell><cell r="N136"><v>4</v></cell></row><row r="137"><cell r="A137" t="str"><v>RIC.CHA</v></cell><cell r="B137" t="str"><v>Riccardia chamaedryfolia (R. sinuata)</v></cell><cell r="C137"><v>15</v></cell><cell r="D137"><v>2</v></cell><cell r="E137" t="str"><v>(With.) Grolle</v></cell><cell r="F137" t="str"><v>Riccardia sinuata (Hook.) Trevis</v></cell><cell r="G137" t="str"><v>Aneura pinnatifida Dumort.</v></cell><cell r="H137" t="str"><v>Jungermannia sinuata Dicks.</v></cell><cell r="I137" t="str"><v>Jungermannia chamaedryfolia With.</v></cell></row><row r="137"><cell r="M137" t="str"><v>BRh</v></cell><cell r="N137"><v>4</v></cell></row><row r="137"><cell r="P137" t="str"><v>IBMR</v></cell></row><row r="138"><cell r="A138" t="str"><v>RIC.MUL</v></cell><cell r="B138" t="str"><v>Riccardia multifida        </v></cell><cell r="C138"><v>15</v></cell><cell r="D138"><v>2</v></cell><cell r="E138" t="str"><v>(L.) Gray    </v></cell><cell r="F138" t="str"><v>Aneura multifida (L.) Dumort.</v></cell><cell r="G138" t="str"><v>Jungermannia multifida L.</v></cell><cell r="H138" t="str"><v>Roemeria multifida (L.) Raddi</v></cell></row><row r="138"><cell r="M138" t="str"><v>BRh</v></cell><cell r="N138"><v>4</v></cell></row><row r="138"><cell r="P138" t="str"><v>IBMR</v></cell></row><row r="139"><cell r="A139" t="str"><v>RIC.SPX</v></cell><cell r="B139" t="str"><v>Riccardia sp.        </v></cell></row><row r="139"><cell r="E139" t="str"><v>Gray</v></cell></row><row r="139"><cell r="M139" t="str"><v>BRh</v></cell><cell r="N139"><v>4</v></cell></row><row r="140"><cell r="A140" t="str"><v>RII.FLU</v></cell><cell r="B140" t="str"><v>Riccia fluitans</v></cell><cell r="C140"><v>8</v></cell><cell r="D140"><v>3</v></cell><cell r="E140" t="str"><v>L.      </v></cell><cell r="F140" t="str"><v>Ricciella fluitans (L.) A. Braun</v></cell><cell r="G140" t="str"><v>Riciella centrifuga Arnell</v></cell></row><row r="140"><cell r="M140" t="str"><v>BRh</v></cell><cell r="N140"><v>4</v></cell></row><row r="140"><cell r="P140" t="str"><v>IBMR</v></cell></row><row r="141"><cell r="A141" t="str"><v>RII.HUE</v></cell><cell r="B141" t="str"><v>Riccia huebeneriana</v></cell></row><row r="141"><cell r="E141" t="str"><v>Lindenb.      </v></cell><cell r="F141" t="str"><v>Ricciella huebeneriana (Lindenb.) Dumort.</v></cell><cell r="G141" t="str"><v>Ricciella pseudofrostii Schiffn. ex Müll. Frib.</v></cell></row><row r="141"><cell r="M141" t="str"><v>BRh</v></cell><cell r="N141"><v>4</v></cell></row><row r="142"><cell r="A142" t="str"><v>RII.RHE</v></cell><cell r="B142" t="str"><v>Riccia rhenana       </v></cell></row><row r="142"><cell r="E142" t="str"><v>Lorb.     </v></cell></row><row r="142"><cell r="M142" t="str"><v>BRh</v></cell><cell r="N142"><v>4</v></cell></row><row r="143"><cell r="A143" t="str"><v>RII.SPX</v></cell><cell r="B143" t="str"><v>Riccia sp.        </v></cell></row><row r="143"><cell r="E143" t="str"><v>L.</v></cell></row><row r="143"><cell r="M143" t="str"><v>BRh</v></cell><cell r="N143"><v>4</v></cell></row><row r="144"><cell r="A144" t="str"><v>RIO.NAT</v></cell><cell r="B144" t="str"><v>Ricciocarpos natans</v></cell></row><row r="144"><cell r="E144" t="str"><v>(L.) Corda     </v></cell><cell r="F144" t="str"><v>Riccia natans L.</v></cell><cell r="G144" t="str"><v>Riccia capillata Schmidel</v></cell><cell r="H144" t="str"><v>Riccia velutina Wilson</v></cell><cell r="I144" t="str"><v>Ricciocarpos velutinus (Wilson) Steph.</v></cell></row><row r="144"><cell r="M144" t="str"><v>BRh</v></cell><cell r="N144"><v>4</v></cell></row><row r="145"><cell r="A145" t="str"><v>SAO.VIT</v></cell><cell r="B145" t="str"><v>Saccogyna viticulosa</v></cell></row><row r="145"><cell r="E145" t="str"><v>(L.) Dumort.     </v></cell><cell r="F145" t="str"><v>Jungermannia viticulosa L.</v></cell></row><row r="145"><cell r="M145" t="str"><v>BRh</v></cell><cell r="N145"><v>4</v></cell></row><row r="146"><cell r="A146" t="str"><v>SCA.NEM</v></cell><cell r="B146" t="str"><v>Scapania nemorea</v></cell></row><row r="146"><cell r="E146" t="str"><v>(L.) Grolle     </v></cell><cell r="F146" t="str"><v>Scapania nemorosa (L.) Dumort.</v></cell><cell r="G146" t="str"><v>Scapania joergensenii Schiffn.</v></cell><cell r="H146" t="str"><v>Jungermannia nemorea L.</v></cell><cell r="I146" t="str"><v>Martinella nemorosa (Dumort.) Lindb.</v></cell></row><row r="146"><cell r="M146" t="str"><v>BRh</v></cell><cell r="N146"><v>4</v></cell></row><row r="147"><cell r="A147" t="str"><v>SCA.PAI</v></cell><cell r="B147" t="str"><v>Scapania paludicola</v></cell></row><row r="147"><cell r="E147" t="str"><v>Loeske & Müll. Frib.   </v></cell><cell r="F147" t="str"><v>Scapania rotundata Warnst.</v></cell><cell r="G147" t="str"><v>Martinellia paludicola (Loeske &  Müll. Frib.) C.E.O. Jensen</v></cell></row><row r="147"><cell r="M147" t="str"><v>BRh</v></cell><cell r="N147"><v>4</v></cell></row><row r="148"><cell r="A148" t="str"><v>SCA.PAL</v></cell><cell r="B148" t="str"><v>Scapania paludosa</v></cell><cell r="C148"><v>20</v></cell><cell r="D148"><v>3</v></cell><cell r="E148" t="str"><v>(Müll. Frib.) Müll. Frib.</v></cell><cell r="F148" t="str"><v>Scapania undulata var. paludosa Müll. Frib.</v></cell><cell r="G148" t="str"><v>Martinellia paludosa (Müll. Frib.) Arnell & C.E.O. Jensen</v></cell></row><row r="148"><cell r="M148" t="str"><v>BRh</v></cell><cell r="N148"><v>4</v></cell></row><row r="148"><cell r="P148" t="str"><v>IBMR</v></cell></row><row r="149"><cell r="A149" t="str"><v>SCA.SPX</v></cell><cell r="B149" t="str"><v>Scapania sp.        </v></cell></row><row r="149"><cell r="E149" t="str"><v>(Dumort.) Dumort.</v></cell></row><row r="149"><cell r="M149" t="str"><v>BRh</v></cell><cell r="N149"><v>4</v></cell></row><row r="150"><cell r="A150" t="str"><v>SCA.ULI</v></cell><cell r="B150" t="str"><v>Scapania uliginosa</v></cell></row><row r="150"><cell r="E150" t="str"><v>(Sw. ex Lindenb.) Dumort.</v></cell><cell r="F150" t="str"><v>Scapania obliqua (Arnell) Schiffn.</v></cell><cell r="G150" t="str"><v>Martinellia obliqua Arnell</v></cell><cell r="H150" t="str"><v>Martinellia uliginosa (Sw. ex Lindenb.) Lindb.</v></cell><cell r="I150" t="str"><v>Jungermannia uliginosa Sw. ex Lindenb.</v></cell></row><row r="150"><cell r="M150" t="str"><v>BRh</v></cell><cell r="N150"><v>4</v></cell></row><row r="151"><cell r="A151" t="str"><v>SCA.UND</v></cell><cell r="B151" t="str"><v>Scapania undulata</v></cell><cell r="C151"><v>17</v></cell><cell r="D151"><v>3</v></cell><cell r="E151" t="str"><v>(L.) Dumort.    </v></cell><cell r="F151" t="str"><v>Scapania dentata (Dumort.) Dumort.</v></cell><cell r="G151" t="str"><v>Scapania intermedia (Husn.) Pearson</v></cell><cell r="H151" t="str"><v>Scapania oakesii Austin</v></cell><cell r="I151" t="str"><v>Scapania resupinata (L.) Dumort.</v></cell><cell r="J151" t="str"><v>Martinellia undulata (L.) Gray</v></cell><cell r="K151" t="str"><v>Jungermannia undulata L.</v></cell></row><row r="151"><cell r="M151" t="str"><v>BRh</v></cell><cell r="N151"><v>4</v></cell></row><row r="151"><cell r="P151" t="str"><v>IBMR</v></cell></row><row r="152"><cell r="A152" t="str"><v>TRC.TOM</v></cell><cell r="B152" t="str"><v>Trichocolea tomentella</v></cell></row><row r="152"><cell r="E152" t="str"><v>(Ehrh.) Dumort.     </v></cell><cell r="F152" t="str"><v>Jungermannia tomentella Ehrh.</v></cell></row><row r="152"><cell r="M152" t="str"><v>BRh</v></cell><cell r="N152"><v>4</v></cell></row><row r="153"><cell r="B153" t="str"><v>- MOUSSES</v></cell></row><row r="153"><cell r="E153" t="str"><v>      </v></cell></row><row r="153"><cell r="M153" t="str"><v>BR</v></cell><cell r="N153"><v>5</v></cell></row><row r="153"><cell r="P153" t="str"><v>IBMR</v></cell></row><row r="154"><cell r="A154" t="str"><v>AMB.FLU</v></cell><cell r="B154" t="str"><v>Amblystegium fluviatile (Hygroamblystegium fluviatile)</v></cell><cell r="C154"><v>11</v></cell><cell r="D154"><v>2</v></cell><cell r="E154" t="str"><v>(Hedw.) B., S. & G.</v></cell><cell r="F154" t="str"><v>Hygroamblystegium fluviatile (Hedw.) Loeske</v></cell><cell r="G154" t="str"><v>Hygroamblystegium noterophilum (Sull. & Lesq.) Warnst.</v></cell></row><row r="154"><cell r="M154" t="str"><v>BRm</v></cell><cell r="N154"><v>5</v></cell></row><row r="154"><cell r="P154" t="str"><v>IBMR</v></cell></row><row r="155"><cell r="A155" t="str"><v>AMB.RIP</v></cell><cell r="B155" t="str"><v>Amblystegium riparium (Leptodictyum riparium)</v></cell><cell r="C155"><v>5</v></cell><cell r="D155"><v>2</v></cell><cell r="E155" t="str"><v>(Hedw.) B., S. & G.</v></cell><cell r="F155" t="str"><v>Leptodictyum riparium (Hedw.) Warnst.</v></cell><cell r="G155" t="str"><v>Amblystegium leptophyllum Schimp.</v></cell><cell r="H155" t="str"><v>Amblystegium maderense (Mitt.) Jaeg.</v></cell></row><row r="155"><cell r="M155" t="str"><v>BRm</v></cell><cell r="N155"><v>5</v></cell></row><row r="155"><cell r="P155" t="str"><v>IBMR</v></cell></row><row r="156"><cell r="A156" t="str"><v>AMB.SPX</v></cell><cell r="B156" t="str"><v>Amblystegium sp.        </v></cell></row><row r="156"><cell r="E156" t="str"><v>B., S. & G.</v></cell></row><row r="156"><cell r="M156" t="str"><v>BRm</v></cell><cell r="N156"><v>5</v></cell></row><row r="157"><cell r="A157" t="str"><v>AMB.TEN</v></cell><cell r="B157" t="str"><v>Amblystegium tenax (Hygroamblystegium tenax)    </v></cell><cell r="C157"><v>15</v></cell><cell r="D157"><v>2</v></cell><cell r="E157" t="str"><v>(Hedw.) C. Jens.</v></cell><cell r="F157" t="str"><v>Hygroamblystegium tenax (Hedw.) Jenn.</v></cell><cell r="G157" t="str"><v>Hygroamblystegium irrigum (Hook. & Wils.) Loeske</v></cell></row><row r="157"><cell r="M157" t="str"><v>BRm</v></cell><cell r="N157"><v>5</v></cell></row><row r="157"><cell r="P157" t="str"><v>IBMR</v></cell></row><row r="158"><cell r="A158" t="str"><v>ATR.UND</v></cell><cell r="B158" t="str"><v>Atrichum undulatum</v></cell></row><row r="158"><cell r="E158" t="str"><v>(Hedw.) P. Beauv.   </v></cell><cell r="F158" t="str"><v>Atrichum haussknechtii Jur. & Milde</v></cell></row><row r="158"><cell r="M158" t="str"><v>BRm</v></cell><cell r="N158"><v>5</v></cell></row><row r="159"><cell r="A159" t="str"><v>AUL.PAL</v></cell><cell r="B159" t="str"><v>Aulacommium palustre</v></cell></row><row r="159"><cell r="E159" t="str"><v>(Hedw.) Schwaegr.     </v></cell></row><row r="159"><cell r="M159" t="str"><v>BRm</v></cell><cell r="N159"><v>5</v></cell></row><row r="160"><cell r="A160" t="str"><v>BLI.ACU</v></cell><cell r="B160" t="str"><v>Blindia acuta        </v></cell></row><row r="160"><cell r="E160" t="str"><v>(Hedw.) B., S. & G.        </v></cell></row><row r="160"><cell r="M160" t="str"><v>BRm</v></cell><cell r="N160"><v>5</v></cell></row><row r="161"><cell r="A161" t="str"><v>BRA.PLU</v></cell><cell r="B161" t="str"><v>Brachythecium plumosum</v></cell><cell r="C161"><v>18</v></cell><cell r="D161"><v>3</v></cell><cell r="E161" t="str"><v>(Hedw.) B., S. & G.</v></cell></row><row r="161"><cell r="M161" t="str"><v>BRm</v></cell><cell r="N161"><v>5</v></cell></row><row r="161"><cell r="P161" t="str"><v>IBMR</v></cell></row><row r="162"><cell r="A162" t="str"><v>BRA.RIV</v></cell><cell r="B162" t="str"><v>Brachythecium rivulare</v></cell><cell r="C162"><v>15</v></cell><cell r="D162"><v>2</v></cell><cell r="E162" t="str"><v>B., S. & G.</v></cell></row><row r="162"><cell r="M162" t="str"><v>BRm</v></cell><cell r="N162"><v>5</v></cell></row><row r="162"><cell r="P162" t="str"><v>IBMR</v></cell></row><row r="163"><cell r="A163" t="str"><v>BRA.RUT</v></cell><cell r="B163" t="str"><v>Brachythecium rutabulum</v></cell></row><row r="163"><cell r="E163" t="str"><v>(Hedw.) B., S. & G.        </v></cell><cell r="F163" t="str"><v>Bryum serrulatum Lag.</v></cell><cell r="G163" t="str"><v>Bryum starkei var. explanatum (Brid.) Mönk.</v></cell></row><row r="163"><cell r="M163" t="str"><v>BRm</v></cell><cell r="N163"><v>5</v></cell></row><row r="164"><cell r="A164" t="str"><v>BRA.SPX</v></cell><cell r="B164" t="str"><v>Brachythecium sp.</v></cell></row><row r="164"><cell r="E164" t="str"><v>B., S. & G.</v></cell></row><row r="164"><cell r="M164" t="str"><v>BRm</v></cell><cell r="N164"><v>5</v></cell></row><row r="165"><cell r="A165" t="str"><v>BRY.PAL</v></cell><cell r="B165" t="str"><v>Bryum pallens       </v></cell></row><row r="165"><cell r="E165" t="str"><v>Sw.      </v></cell><cell r="F165" t="str"><v>Bryum lundstroemii H. Arn.</v></cell></row><row r="165"><cell r="M165" t="str"><v>BRm</v></cell><cell r="N165"><v>5</v></cell></row><row r="166"><cell r="A166" t="str"><v>BRY.PAS</v></cell><cell r="B166" t="str"><v>Bryum pallescens</v></cell></row><row r="166"><cell r="E166" t="str"><v>Schleich. ex Schwaegr. </v></cell><cell r="F166" t="str"><v>Bryum alandicum Bomanss.</v></cell><cell r="G166" t="str"><v>Bryum baenitzii C. Müll.</v></cell><cell r="H166" t="str"><v>Bryum bulbifolium Lindb.</v></cell><cell r="I166" t="str"><v>Bryum calcicola H. Arn.</v></cell><cell r="J166" t="str"><v>Bryum cirrhatum Hoppe & Hornsch.</v></cell><cell r="K166" t="str"><v>Bryum clathratum Amann</v></cell></row><row r="166"><cell r="M166" t="str"><v>BRm</v></cell><cell r="N166"><v>5</v></cell></row><row r="167"><cell r="A167" t="str"><v>BRY.PSE</v></cell><cell r="B167" t="str"><v>Bryum pseudotriquetrum</v></cell></row><row r="167"><cell r="E167" t="str"><v>(Hedw.) Gaertn., Meyer & Scherb.</v></cell><cell r="F167" t="str"><v>Bryum bimum (Schreb.) Turn.       </v></cell><cell r="G167" t="str"><v>Bryum ventricosum Relh.</v></cell></row><row r="167"><cell r="M167" t="str"><v>BRm</v></cell><cell r="N167"><v>5</v></cell></row><row r="168"><cell r="A168" t="str"><v>BRY.SCH</v></cell><cell r="B168" t="str"><v>Bryum schleicheri</v></cell></row><row r="168"><cell r="E168" t="str"><v>Lam. & DC.</v></cell></row><row r="168"><cell r="M168" t="str"><v>BRm</v></cell><cell r="N168"><v>5</v></cell></row><row r="169"><cell r="A169" t="str"><v>BRY.SPX</v></cell><cell r="B169" t="str"><v>Bryum sp.        </v></cell></row><row r="169"><cell r="E169" t="str"><v>Hedw.</v></cell></row><row r="169"><cell r="M169" t="str"><v>BRm</v></cell><cell r="N169"><v>5</v></cell></row><row r="170"><cell r="A170" t="str"><v>BRY.WEI</v></cell><cell r="B170" t="str"><v>Bryum weigelii</v></cell></row><row r="170"><cell r="E170" t="str"><v>Spreng.      </v></cell><cell r="F170" t="str"><v>Bryum duvalii Voit</v></cell></row><row r="170"><cell r="M170" t="str"><v>BRm</v></cell><cell r="N170"><v>5</v></cell></row><row r="171"><cell r="A171" t="str"><v>CAI.COR</v></cell><cell r="B171" t="str"><v>Calliergon cordifolium</v></cell></row><row r="171"><cell r="E171" t="str"><v>(Hedw.) Kindb.     </v></cell><cell r="F171" t="str"><v>Acrocladium cordifolium (Hedw.) P. Rich. & Wallace</v></cell></row><row r="171"><cell r="M171" t="str"><v>BRm</v></cell><cell r="N171"><v>5</v></cell></row><row r="172"><cell r="A172" t="str"><v>CAI.GIG</v></cell><cell r="B172" t="str"><v>Calliergon giganteum</v></cell></row><row r="172"><cell r="E172" t="str"><v>(Schimp.)      </v></cell><cell r="F172" t="str"><v>Calliergon megalophyllum Mik.</v></cell><cell r="G172" t="str"><v>Calliergon moldavicum (Velen.) Podp.</v></cell><cell r="H172" t="str"><v>Acrocladium giganteum (Schimp.) P. Rich. & Wallace</v></cell></row><row r="172"><cell r="M172" t="str"><v>BRm</v></cell><cell r="N172"><v>5</v></cell></row><row r="173"><cell r="A173" t="str"><v>CAI.SAR</v></cell><cell r="B173" t="str"><v>Calliergon sarmentosum</v></cell></row><row r="173"><cell r="E173" t="str"><v>(Wahenl.) Kindb.     </v></cell><cell r="F173" t="str"><v>Acrocladium sarmentosum (Wahlenb.) P. Rich. & Wallace</v></cell><cell r="G173" t="str"><v>Sarmentypnum sarmentosum (Wahlenb.) Tuom. & T. Kop.</v></cell></row><row r="173"><cell r="M173" t="str"><v>BRm</v></cell><cell r="N173"><v>5</v></cell></row><row r="174"><cell r="A174" t="str"><v>CAI.SPX</v></cell><cell r="B174" t="str"><v>Calliergon sp.        </v></cell></row><row r="174"><cell r="E174" t="str"><v>(Sull.) Kindb.</v></cell><cell r="F174" t="str"><v>Acrocladium sp. auct.</v></cell><cell r="G174" t="str"><v>Sarmentypnum sp. Tuom. & T. Kop.</v></cell></row><row r="174"><cell r="M174" t="str"><v>BRm</v></cell><cell r="N174"><v>5</v></cell></row><row r="175"><cell r="A175" t="str"><v>CAI.STR</v></cell><cell r="B175" t="str"><v>Calliergon stramineum </v></cell></row><row r="175"><cell r="E175" t="str"><v>(Brid.) Kindb.     </v></cell><cell r="F175" t="str"><v>Acrocladium stramineum (Brid.) P. Rich. & Wallace</v></cell></row><row r="175"><cell r="M175" t="str"><v>BRm</v></cell><cell r="N175"><v>5</v></cell></row><row r="176"><cell r="A176" t="str"><v>CAI.CUS</v></cell><cell r="B176" t="str"><v>Calliergonella cuspidata</v></cell></row><row r="176"><cell r="E176" t="str"><v>(Hedw.) Loeske     </v></cell><cell r="F176" t="str"><v>Calliergon cuspidatum (Hedw.) Kindb.     </v></cell><cell r="G176" t="str"><v>Acrocladium cuspidatum (Hedw.) Lindb.</v></cell></row><row r="176"><cell r="M176" t="str"><v>BRm</v></cell><cell r="N176"><v>5</v></cell></row><row r="177"><cell r="A177" t="str"><v>CIN.AQU</v></cell><cell r="B177" t="str"><v>Cinclidotus aquaticus</v></cell><cell r="C177"><v>15</v></cell><cell r="D177"><v>2</v></cell><cell r="E177" t="str"><v> (Hedw.) B., S. & G.</v></cell></row><row r="177"><cell r="M177" t="str"><v>BRm</v></cell><cell r="N177"><v>5</v></cell></row><row r="177"><cell r="P177" t="str"><v>IBMR</v></cell></row><row r="178"><cell r="A178" t="str"><v>CIN.DAN</v></cell><cell r="B178" t="str"><v>Cinclidotus danubicus</v></cell><cell r="C178"><v>13</v></cell><cell r="D178"><v>3</v></cell><cell r="E178" t="str"><v>Schiffn. & Baumg.</v></cell></row><row r="178"><cell r="M178" t="str"><v>BRm</v></cell><cell r="N178"><v>5</v></cell></row><row r="178"><cell r="P178" t="str"><v>IBMR</v></cell></row><row r="179"><cell r="A179" t="str"><v>CIN.FON</v></cell><cell r="B179" t="str"><v>Cinclidotus fontinaloides</v></cell><cell r="C179"><v>12</v></cell><cell r="D179"><v>2</v></cell><cell r="E179" t="str"><v>(Hedw.) P. Beauv.    </v></cell><cell r="F179" t="str"><v>Cinclidotus minor Lindb.</v></cell></row><row r="179"><cell r="M179" t="str"><v>BRm</v></cell><cell r="N179"><v>5</v></cell></row><row r="179"><cell r="P179" t="str"><v>IBMR</v></cell></row><row r="180"><cell r="A180" t="str"><v>CIN.MUC</v></cell><cell r="B180" t="str"><v>Cinclidotus mucronatus</v></cell></row><row r="180"><cell r="E180" t="str"><v>(Brid.) Mach.     </v></cell><cell r="F180" t="str"><v>Dialytrichia mucronata (Brid.) Broth.</v></cell></row><row r="180"><cell r="M180" t="str"><v>BRm</v></cell><cell r="N180"><v>5</v></cell></row><row r="181"><cell r="A181" t="str"><v>CIN.RIP</v></cell><cell r="B181" t="str"><v>Cinclidotus riparius</v></cell><cell r="C181"><v>13</v></cell><cell r="D181"><v>2</v></cell><cell r="E181" t="str"><v>(Brid.) Arnott   </v></cell><cell r="F181" t="str"><v>Cinclidotus nigricans (Brid.) Wijk & Marg.</v></cell></row><row r="181"><cell r="M181" t="str"><v>BRm</v></cell><cell r="N181"><v>5</v></cell></row><row r="181"><cell r="P181" t="str"><v>IBMR</v></cell></row><row r="182"><cell r="A182" t="str"><v>CIN.SPX</v></cell><cell r="B182" t="str"><v>Cinclidotus sp.        </v></cell></row><row r="182"><cell r="E182" t="str"><v>P. Beauv. </v></cell></row><row r="182"><cell r="M182" t="str"><v>BRm</v></cell><cell r="N182"><v>5</v></cell></row><row r="183"><cell r="A183" t="str"><v>CLI.DEN</v></cell><cell r="B183" t="str"><v>Climacium dendroides  </v></cell></row><row r="183"><cell r="E183" t="str"><v>(Hedw.) Web. & Mohr  </v></cell><cell r="F183" t="str"><v>Calliergon solitarium (Möll.) Broth.</v></cell></row><row r="183"><cell r="M183" t="str"><v>BRm</v></cell><cell r="N183"><v>5</v></cell></row><row r="184"><cell r="A184" t="str"><v>CRA.COM</v></cell><cell r="B184" t="str"><v>Cratoneuron commutatum</v></cell><cell r="C184"><v>15</v></cell><cell r="D184"><v>2</v></cell><cell r="E184" t="str"><v>(Hedw.) G. Roth   </v></cell><cell r="F184" t="str"><v>Cratoneuron falcatum (Brid.) G. Roth</v></cell></row><row r="184"><cell r="M184" t="str"><v>BRm</v></cell><cell r="N184"><v>5</v></cell></row><row r="184"><cell r="P184" t="str"><v>IBMR</v></cell></row><row r="185"><cell r="A185" t="str"><v>CRA.FIL</v></cell><cell r="B185" t="str"><v>Cratoneuron filicinum</v></cell><cell r="C185"><v>18</v></cell><cell r="D185"><v>3</v></cell><cell r="E185" t="str"><v>(Hedw.) Spruce</v></cell><cell r="F185" t="str"><v>Amblystegium boreale Dix.</v></cell><cell r="G185" t="str"><v>Cratoneuron articum Steere</v></cell></row><row r="185"><cell r="M185" t="str"><v>BRm</v></cell><cell r="N185"><v>5</v></cell></row><row r="185"><cell r="P185" t="str"><v>IBMR</v></cell></row><row r="186"><cell r="A186" t="str"><v>CRA.SPX</v></cell><cell r="B186" t="str"><v>Cratoneuron sp.        </v></cell></row><row r="186"><cell r="E186" t="str"><v>(Sull.) Spruce </v></cell></row><row r="186"><cell r="M186" t="str"><v>BRm</v></cell><cell r="N186"><v>5</v></cell></row><row r="187"><cell r="A187" t="str"><v>CTE.MOL</v></cell><cell r="B187" t="str"><v>Ctenidium molluscum</v></cell></row><row r="187"><cell r="E187" t="str"><v>(Hedw.) Mitt.     </v></cell><cell r="F187" t="str"><v>Hypnum balearicum Dix.</v></cell></row><row r="187"><cell r="M187" t="str"><v>BRm</v></cell><cell r="N187"><v>5</v></cell></row><row r="188"><cell r="A188" t="str"><v>DIH.FLA</v></cell><cell r="B188" t="str"><v>Dichodontium flavescens</v></cell></row><row r="188"><cell r="E188" t="str"><v>(Dicks.) Lindb.  </v></cell><cell r="F188" t="str"><v>Dichodontium pellucidum (Hedw.) Schimp. var. flavescens (With.) Husnot</v></cell></row><row r="188"><cell r="M188" t="str"><v>BRm</v></cell><cell r="N188"><v>5</v></cell></row><row r="189"><cell r="A189" t="str"><v>DIH.PEL</v></cell><cell r="B189" t="str"><v>Dichodontium pellucidum</v></cell></row><row r="189"><cell r="E189" t="str"><v>(Hedw.) Schimp.     </v></cell></row><row r="189"><cell r="M189" t="str"><v>BRm</v></cell><cell r="N189"><v>5</v></cell></row><row r="190"><cell r="A190" t="str"><v>DIH.SPX</v></cell><cell r="B190" t="str"><v>Dichodontium sp.</v></cell></row><row r="190"><cell r="E190" t="str"><v>Schimp.</v></cell></row><row r="190"><cell r="M190" t="str"><v>BRm</v></cell><cell r="N190"><v>5</v></cell></row><row r="191"><cell r="A191" t="str"><v>DIC.PAL</v></cell><cell r="B191" t="str"><v>Dicranella palustris</v></cell></row><row r="191"><cell r="E191" t="str"><v>(Dicks.) Crundw. ex Warb.      </v></cell><cell r="F191" t="str"><v>Dicranella squarrosa (Schrad.) Schimp.</v></cell><cell r="G191" t="str"><v>Anisothecium palustre (Dicks.) I.Hag.</v></cell><cell r="H191" t="str"><v>Anisothecium squarrosum (Schrad.) Lindb.</v></cell><cell r="I191" t="str"><v>Diobelon squarrosum (Schrad.) Hampe</v></cell></row><row r="191"><cell r="M191" t="str"><v>BRm</v></cell><cell r="N191"><v>5</v></cell></row><row r="192"><cell r="A192" t="str"><v>DIC.SPX</v></cell><cell r="B192" t="str"><v>Dicranella sp.</v></cell></row><row r="192"><cell r="E192" t="str"><v>(C. Müll.) Schimp.</v></cell></row><row r="192"><cell r="M192" t="str"><v>BRm</v></cell><cell r="N192"><v>5</v></cell></row><row r="193"><cell r="A193" t="str"><v>DIR.SCO</v></cell><cell r="B193" t="str"><v>Dicranum scottianum       </v></cell></row><row r="193"><cell r="E193" t="str"><v>Turn.      </v></cell><cell r="F193" t="str"><v>Orthodicranum scottianum (Turn.) G. Roth ex Cas.-Gil</v></cell></row><row r="193"><cell r="M193" t="str"><v>BRm</v></cell><cell r="N193"><v>5</v></cell></row><row r="194"><cell r="A194" t="str"><v>DRE.ADU</v></cell><cell r="B194" t="str"><v>Drepanocladus aduncus</v></cell><cell r="C194"><v>15</v></cell><cell r="D194"><v>3</v></cell><cell r="E194" t="str"><v>(Hedw.) Warnst.</v></cell><cell r="F194" t="str"><v>Drepanocladus kneiffii (B., S. & G.) Warnst.</v></cell><cell r="G194" t="str"><v>Drepanocladus polycarpus (Voit) Warnst.</v></cell><cell r="H194" t="str"><v>Drepanocladus simplicissimus Warnst.</v></cell></row><row r="194"><cell r="M194" t="str"><v>BRm</v></cell><cell r="N194"><v>5</v></cell></row><row r="194"><cell r="P194" t="str"><v>IBMR</v></cell></row><row r="195"><cell r="A195" t="str"><v>DRE.EXA</v></cell><cell r="B195" t="str"><v>Drepanocladus exannulatus</v></cell></row><row r="195"><cell r="E195" t="str"><v>(B., S. & G.) Warnst.     </v></cell><cell r="F195" t="str"><v>Warnstorfia exannulata (B., S. & G.) Loeske      </v></cell><cell r="G195" t="str"><v>Drepanocladus procerus (Ren. & H. Arn.) Warnst.</v></cell><cell r="H195" t="str"><v>Drepanocladus prupurascens (Schimp.) Loeske</v></cell></row><row r="195"><cell r="M195" t="str"><v>BRm</v></cell><cell r="N195"><v>5</v></cell></row><row r="196"><cell r="A196" t="str"><v>DRE.FLU</v></cell><cell r="B196" t="str"><v>Drepanocladus fluitans</v></cell><cell r="C196"><v>14</v></cell><cell r="D196"><v>2</v></cell><cell r="E196" t="str"><v>(Hedw.) Warnst.</v></cell><cell r="F196" t="str"><v>Warnstorfia fluitans (Hedw.) Loeske</v></cell><cell r="G196" t="str"><v>Campylium brachycarpum G. Roth</v></cell><cell r="H196" t="str"><v>Drepanocladus h-schulzei (Limpr.) Loeske</v></cell><cell r="I196" t="str"><v>Drepanocladus schulzei G. Roth</v></cell></row><row r="196"><cell r="M196" t="str"><v>BRm</v></cell><cell r="N196"><v>5</v></cell></row><row r="196"><cell r="P196" t="str"><v>IBMR</v></cell></row><row r="197"><cell r="A197" t="str"><v>DRE.SPX</v></cell><cell r="B197" t="str"><v>Drepanocladus sp.        </v></cell></row><row r="197"><cell r="E197" t="str"><v>(C. Müll.) G. Roth</v></cell></row><row r="197"><cell r="M197" t="str"><v>BRm</v></cell><cell r="N197"><v>5</v></cell></row><row r="198"><cell r="A198" t="str"><v>EUC.VER</v></cell><cell r="B198" t="str"><v>Eucladium verticillatum</v></cell></row><row r="198"><cell r="E198" t="str"><v>(Brid.) B., S. & G.</v></cell><cell r="F198" t="str"><v>Eucladium styriacum Glow.</v></cell></row><row r="198"><cell r="M198" t="str"><v>BRm</v></cell><cell r="N198"><v>5</v></cell></row><row r="199"><cell r="A199" t="str"><v>EUR.HIA</v></cell><cell r="B199" t="str"><v>Eurhynchium hians</v></cell></row><row r="199"><cell r="E199" t="str"><v>(Hedw.) Sande Lac.    </v></cell><cell r="F199" t="str"><v>Eurhynchium swartzii (Turn.) Curn.      </v></cell><cell r="G199" t="str"><v>Eurhynchium praelongum auct. Plur.      </v></cell><cell r="H199" t="str"><v>Oxyrrhynchium hians (Hedw.) Loeske</v></cell><cell r="I199" t="str"><v>Oxyrrhynchium swartzii (Turn.) Warnst.</v></cell></row><row r="199"><cell r="M199" t="str"><v>BRm</v></cell><cell r="N199"><v>5</v></cell></row><row r="200"><cell r="A200" t="str"><v>EUR.PRA</v></cell><cell r="B200" t="str"><v>Eurhynchium praelongum var. praelongum</v></cell></row><row r="200"><cell r="E200" t="str"><v>(Hedw.) B., S. & G.</v></cell><cell r="F200" t="str"><v>Oxyrrhynchium praelongum (Hedw.) Warnst. var. praelongum (Hedw.) Warnst.</v></cell><cell r="G200" t="str"><v>Oxyrrhynchium serratum (Card. & H. Wint.) F. Koppe</v></cell><cell r="H200" t="str"><v>Stokesiella praelonga (Hedw.) Robins. var. praelonga (Hedw.) Robins.</v></cell></row><row r="200"><cell r="M200" t="str"><v>BRm</v></cell><cell r="N200"><v>5</v></cell></row><row r="201"><cell r="A201" t="str"><v>EUR.STO</v></cell><cell r="B201" t="str"><v>Eurhynchium praelongum var. stokesii (E. stokesii)</v></cell></row><row r="201"><cell r="E201" t="str"><v>(Turn.) Dix.   </v></cell><cell r="F201" t="str"><v>Bryhnia stokesii (Turn.) Robins.</v></cell><cell r="G201" t="str"><v>Eurhynchium stockesii (Turn.) B., S. & G.</v></cell><cell r="H201" t="str"><v>Oxyrrhynchium praelongum (Hedw.) Warnst. var. stokesii (Turn.) Podp.</v></cell><cell r="I201" t="str"><v>Stokesiella praelonga (Hedw.) Robins. var. stokesii (Turn.) Crum.</v></cell></row><row r="201"><cell r="M201" t="str"><v>BRm</v></cell><cell r="N201"><v>5</v></cell></row><row r="202"><cell r="A202" t="str"><v>EUR.SPX</v></cell><cell r="B202" t="str"><v>Eurhynchium sp.</v></cell></row><row r="202"><cell r="E202" t="str"><v>B., S. & G.</v></cell></row><row r="202"><cell r="M202" t="str"><v>BRm</v></cell><cell r="N202"><v>5</v></cell></row><row r="203"><cell r="A203" t="str"><v>FIS.BRY</v></cell><cell r="B203" t="str"><v>Fissidens bryoides</v></cell></row><row r="203"><cell r="E203" t="str"><v>Hedw.      </v></cell><cell r="F203" t="str"><v>Fissidens alpestris (Lindb.) Amann</v></cell><cell r="G203" t="str"><v>Fissidens inconstans Schimp.</v></cell><cell r="H203" t="str"><v>Fissidens arcticus Bryhn</v></cell></row><row r="203"><cell r="M203" t="str"><v>BRm</v></cell><cell r="N203"><v>5</v></cell></row><row r="204"><cell r="A204" t="str"><v>FIS.CRA</v></cell><cell r="B204" t="str"><v>Fissidens crassipes</v></cell><cell r="C204"><v>12</v></cell><cell r="D204"><v>2</v></cell><cell r="E204" t="str"><v>Wils. ex B., S. & G.</v></cell><cell r="F204" t="str"><v>Fissidens mildeanus Schimp.</v></cell><cell r="G204" t="str"><v>Fissidens warnstorfii Fleisch.</v></cell></row><row r="204"><cell r="M204" t="str"><v>BRm</v></cell><cell r="N204"><v>5</v></cell></row><row r="204"><cell r="P204" t="str"><v>IBMR</v></cell></row><row r="205"><cell r="A205" t="str"><v>FIS.CUR</v></cell><cell r="B205" t="str"><v>Fissidens curnovii       </v></cell></row><row r="205"><cell r="E205" t="str"><v>Mitt.      </v></cell><cell r="F205" t="str"><v>Fissidens bryoides Hedw. var. caespitans Schimp.</v></cell></row><row r="205"><cell r="M205" t="str"><v>BRm</v></cell><cell r="N205"><v>5</v></cell></row><row r="206"><cell r="A206" t="str"><v>FIS.GRA</v></cell><cell r="B206" t="str"><v>Fissidens gracilifolius (F. minutulus)</v></cell><cell r="C206"><v>14</v></cell><cell r="D206"><v>3</v></cell><cell r="E206" t="str"><v>Brugg. Nann. & Nyh.   </v></cell><cell r="F206" t="str"><v>Fissidens pusillus (Wils.) Milde var. tenuifolius (Boul.) Popd.</v></cell><cell r="G206" t="str"><v>Fissidens minutulus auct.  </v></cell><cell r="H206" t="str"><v>Fissidens minitulus Auct.</v></cell></row><row r="206"><cell r="M206" t="str"><v>BRm</v></cell><cell r="N206"><v>5</v></cell></row><row r="206"><cell r="P206" t="str"><v>IBMR</v></cell></row><row r="207"><cell r="A207" t="str"><v>FIS.GRN</v></cell><cell r="B207" t="str"><v>Fissidens grandifrons  (Pachyfissidens grandifrons)</v></cell><cell r="C207"><v>15</v></cell><cell r="D207"><v>3</v></cell><cell r="E207" t="str"><v>Brid.</v></cell><cell r="F207" t="str"><v>Pachyfissidens grandifrons (Brid.) Limpr.</v></cell></row><row r="207"><cell r="M207" t="str"><v>BRm</v></cell><cell r="N207"><v>5</v></cell></row><row r="207"><cell r="P207" t="str"><v>IBMR</v></cell></row><row r="208"><cell r="A208" t="str"><v>FIS.MON</v></cell><cell r="B208" t="str"><v>Fissidens monguillonii</v></cell></row><row r="208"><cell r="E208" t="str"><v>Thér.      </v></cell></row><row r="208"><cell r="M208" t="str"><v>BRm</v></cell><cell r="N208"><v>5</v></cell></row><row r="209"><cell r="A209" t="str"><v>FIS.OSM</v></cell><cell r="B209" t="str"><v>Fissidens osmundoides       </v></cell></row><row r="209"><cell r="E209" t="str"><v>Hedw.      </v></cell></row><row r="209"><cell r="M209" t="str"><v>BRm</v></cell><cell r="N209"><v>5</v></cell></row><row r="210"><cell r="A210" t="str"><v>FIS.POL</v></cell><cell r="B210" t="str"><v>Fissidens polyphyllus</v></cell><cell r="C210"><v>20</v></cell><cell r="D210"><v>3</v></cell><cell r="E210" t="str"><v>Wils. ex B., S. & G.</v></cell></row><row r="210"><cell r="M210" t="str"><v>BRm</v></cell><cell r="N210"><v>5</v></cell></row><row r="210"><cell r="P210" t="str"><v>IBMR</v></cell></row><row r="211"><cell r="A211" t="str"><v>FIS.PUS</v></cell><cell r="B211" t="str"><v>Fissidens pusillus</v></cell><cell r="C211"><v>14</v></cell><cell r="D211"><v>2</v></cell><cell r="E211" t="str"><v>(Wils.) Milde</v></cell><cell r="F211" t="str"><v>Fissidens pusillus (Wils.) Milde var. pusillus (Wils.) Milde</v></cell></row><row r="211"><cell r="M211" t="str"><v>BRm</v></cell><cell r="N211"><v>5</v></cell></row><row r="211"><cell r="P211" t="str"><v>IBMR</v></cell></row><row r="212"><cell r="A212" t="str"><v>FIS.RIV</v></cell><cell r="B212" t="str"><v>Fissidens rivularis</v></cell></row><row r="212"><cell r="E212" t="str"><v>(Spruce) B., S. & G.    </v></cell></row><row r="212"><cell r="M212" t="str"><v>BRm</v></cell><cell r="N212"><v>5</v></cell></row><row r="213"><cell r="A213" t="str"><v>FIS.RUF</v></cell><cell r="B213" t="str"><v>Fissidens rufulus</v></cell><cell r="C213"><v>14</v></cell><cell r="D213"><v>3</v></cell><cell r="E213" t="str"><v>B., S. & G.</v></cell></row><row r="213"><cell r="M213" t="str"><v>BRm</v></cell><cell r="N213"><v>5</v></cell></row><row r="213"><cell r="P213" t="str"><v>IBMR</v></cell></row><row r="214"><cell r="A214" t="str"><v>FIS.SPX</v></cell><cell r="B214" t="str"><v>Fissidens sp.</v></cell></row><row r="214"><cell r="E214" t="str"><v>Hedw.      </v></cell></row><row r="214"><cell r="M214" t="str"><v>BRm</v></cell><cell r="N214"><v>5</v></cell></row><row r="215"><cell r="A215" t="str"><v>FIS.TAX</v></cell><cell r="B215" t="str"><v>Fissidens taxifolius</v></cell></row><row r="215"><cell r="E215" t="str"><v>Hedw.</v></cell></row><row r="215"><cell r="M215" t="str"><v>BRm</v></cell><cell r="N215"><v>5</v></cell></row><row r="216"><cell r="A216" t="str"><v>FIS.VIR</v></cell><cell r="B216" t="str"><v>Fissidens viridulus   </v></cell><cell r="C216"><v>11</v></cell><cell r="D216"><v>2</v></cell><cell r="E216" t="str"><v>(Sw.) Wahlenb.     </v></cell><cell r="F216" t="str"><v>Fissidens impar Mitt.</v></cell><cell r="G216" t="str"><v>Fissidens bambergeri auct.</v></cell><cell r="H216" t="str"><v>Fissidens haraldii (Lindb.) Limpr.</v></cell><cell r="I216" t="str"><v>Fissidens intralimbatus Ruthe</v></cell></row><row r="216"><cell r="M216" t="str"><v>BRm</v></cell><cell r="N216"><v>5</v></cell></row><row r="216"><cell r="P216" t="str"><v>IBMR</v></cell></row><row r="217"><cell r="A217" t="str"><v>FON.ANT</v></cell><cell r="B217" t="str"><v>Fontinalis antipyretica</v></cell><cell r="C217"><v>10</v></cell><cell r="D217"><v>1</v></cell><cell r="E217" t="str"><v>Hedw.      </v></cell><cell r="F217" t="str"><v>Fontinalis androgyna Ruthe</v></cell><cell r="G217" t="str"><v>Fontinalis arvernica (Ren.) Card.</v></cell><cell r="H217" t="str"><v>Fontinalis cavifolia Warnst. & Fleisch.</v></cell><cell r="I217" t="str"><v>Fontinalis dolosa Card.</v></cell><cell r="J217" t="str"><v>Fontinalis gothica Card. & H. Arn.</v></cell><cell r="K217" t="str"><v>Fontinalis gracilis Lindb.</v></cell></row><row r="217"><cell r="M217" t="str"><v>BRm</v></cell><cell r="N217"><v>5</v></cell></row><row r="217"><cell r="P217" t="str"><v>IBMR</v></cell></row><row r="218"><cell r="A218" t="str"><v>FON.HYP</v></cell><cell r="B218" t="str"><v>Fontinalis hypnoides</v></cell></row><row r="218"><cell r="E218" t="str"><v>Hartm      </v></cell><cell r="F218" t="str"><v>Fontinalis camusii Card.</v></cell><cell r="G218" t="str"><v>Fontinalis seriata Lindb.</v></cell><cell r="H218" t="str"><v>Fontinalis hypnoides Hartm. var. hypnoides Hartm.</v></cell></row><row r="218"><cell r="M218" t="str"><v>BRm</v></cell><cell r="N218"><v>5</v></cell></row><row r="219"><cell r="A219" t="str"><v>FON.DUR</v></cell><cell r="B219" t="str"><v>Fontinalis hypnoides var. duriaei (F. duriaei)</v></cell><cell r="C219"><v>14</v></cell><cell r="D219"><v>3</v></cell><cell r="E219" t="str"><v>Schimp.      </v></cell><cell r="F219" t="str"><v>Fontinalis duriaei Schimp.</v></cell></row><row r="219"><cell r="M219" t="str"><v>BRm</v></cell><cell r="N219"><v>5</v></cell></row><row r="219"><cell r="P219" t="str"><v>IBMR</v></cell></row><row r="220"><cell r="A220" t="str"><v>FON.SPX</v></cell><cell r="B220" t="str"><v>Fontinalis sp.</v></cell></row><row r="220"><cell r="E220" t="str"><v>Hedw.      </v></cell></row><row r="220"><cell r="M220" t="str"><v>BRm</v></cell><cell r="N220"><v>5</v></cell></row><row r="221"><cell r="A221" t="str"><v>FON.SQU</v></cell><cell r="B221" t="str"><v>Fontinalis squamosa</v></cell><cell r="C221"><v>16</v></cell><cell r="D221"><v>3</v></cell><cell r="E221" t="str"><v>Hedw.      </v></cell><cell r="F221" t="str"><v>Fontinalis dixonii Card.</v></cell></row><row r="221"><cell r="M221" t="str"><v>BRm</v></cell><cell r="N221"><v>5</v></cell></row><row r="221"><cell r="P221" t="str"><v>IBMR</v></cell></row><row r="222"><cell r="A222" t="str"><v>HET.HET</v></cell><cell r="B222" t="str"><v>Heterocladium heteropterum        </v></cell></row><row r="222"><cell r="E222" t="str"><v>B., S. & G.</v></cell><cell r="F222" t="str"><v>Heterocladium wulfsbergii I. Hag.</v></cell></row><row r="222"><cell r="M222" t="str"><v>BRm</v></cell><cell r="N222"><v>5</v></cell></row><row r="223"><cell r="A223" t="str"><v>HOA.TRI</v></cell><cell r="B223" t="str"><v>Homalia trichomanoides</v></cell></row><row r="223"><cell r="E223" t="str"><v>(Hedw.) B., S. & G.</v></cell></row><row r="223"><cell r="M223" t="str"><v>BRm</v></cell><cell r="N223"><v>5</v></cell></row><row r="224"><cell r="A224" t="str"><v>HOO.LUC</v></cell><cell r="B224" t="str"><v>Hookeria lucens</v></cell></row><row r="224"><cell r="E224" t="str"><v>(Hedw.) Sm.     </v></cell></row><row r="224"><cell r="M224" t="str"><v>BRm</v></cell><cell r="N224"><v>5</v></cell></row><row r="225"><cell r="A225" t="str"><v>HYG.DUR</v></cell><cell r="B225" t="str"><v>Hygrohypnum duriusculum (H. dilatatum)</v></cell><cell r="C225"><v>19</v></cell><cell r="D225"><v>3</v></cell><cell r="E225" t="str"><v>(De Not.) Jamieson    </v></cell><cell r="F225" t="str"><v>Hygrohypnum dilatatum (Wils. ex Schimp.) Loeske</v></cell></row><row r="225"><cell r="M225" t="str"><v>BRm</v></cell><cell r="N225"><v>5</v></cell></row><row r="225"><cell r="P225" t="str"><v>IBMR</v></cell></row><row r="226"><cell r="A226" t="str"><v>HYG.LUR</v></cell><cell r="B226" t="str"><v>Hygrohypnum luridum</v></cell><cell r="C226"><v>19</v></cell><cell r="D226"><v>3</v></cell><cell r="E226" t="str"><v>(Hedw.) Jenn.     </v></cell><cell r="F226" t="str"><v>Hygrohypnum palustre Loeske</v></cell></row><row r="226"><cell r="M226" t="str"><v>BRm</v></cell><cell r="N226"><v>5</v></cell></row><row r="226"><cell r="P226" t="str"><v>IBMR</v></cell></row><row r="227"><cell r="A227" t="str"><v>HYG.MOL</v></cell><cell r="B227" t="str"><v>Hygrohypnum molle</v></cell></row><row r="227"><cell r="E227" t="str"><v>(Hedw.) Loeske</v></cell></row><row r="227"><cell r="M227" t="str"><v>BRm</v></cell><cell r="N227"><v>5</v></cell></row><row r="228"><cell r="A228" t="str"><v>HYG.OCH</v></cell><cell r="B228" t="str"><v>Hygrohypnum ochraceum</v></cell><cell r="C228"><v>19</v></cell><cell r="D228"><v>3</v></cell><cell r="E228" t="str"><v>(Turn. ex Wils.) Loeske</v></cell></row><row r="228"><cell r="M228" t="str"><v>BRm</v></cell><cell r="N228"><v>5</v></cell></row><row r="228"><cell r="P228" t="str"><v>IBMR</v></cell></row><row r="229"><cell r="A229" t="str"><v>HYG.POL</v></cell><cell r="B229" t="str"><v>Hygrohypnum polare</v></cell></row><row r="229"><cell r="E229" t="str"><v>(Lindb.) Loeske     </v></cell></row><row r="229"><cell r="M229" t="str"><v>BRm</v></cell><cell r="N229"><v>5</v></cell></row><row r="230"><cell r="A230" t="str"><v>HYG.SMI</v></cell><cell r="B230" t="str"><v>Hygrohypnum smithii</v></cell></row><row r="230"><cell r="E230" t="str"><v>(Sw.) Broth.     </v></cell></row><row r="230"><cell r="M230" t="str"><v>BRm</v></cell><cell r="N230"><v>5</v></cell></row><row r="231"><cell r="A231" t="str"><v>HYG.SPX</v></cell><cell r="B231" t="str"><v>Hygrohypnum sp.</v></cell></row><row r="231"><cell r="E231" t="str"><v>Lindb.      </v></cell></row><row r="231"><cell r="M231" t="str"><v>BRm</v></cell><cell r="N231"><v>5</v></cell></row><row r="232"><cell r="A232" t="str"><v>HYO.ARM</v></cell><cell r="B232" t="str"><v>Hyocomium armoricum (H. flagellare)      </v></cell><cell r="C232"><v>20</v></cell><cell r="D232"><v>3</v></cell><cell r="E232" t="str"><v>(Brid.) Wijk & Marg.   </v></cell><cell r="F232" t="str"><v>Hyocomium flagellare B., S. & G.</v></cell></row><row r="232"><cell r="M232" t="str"><v>BRm</v></cell><cell r="N232"><v>5</v></cell></row><row r="232"><cell r="P232" t="str"><v>IBMR</v></cell></row><row r="233"><cell r="A233" t="str"><v>MNI.HOR</v></cell><cell r="B233" t="str"><v>Mnium hornum</v></cell></row><row r="233"><cell r="E233" t="str"><v>Hedw.      </v></cell><cell r="F233" t="str"><v>Polla horna (Hedw.) Brid.</v></cell></row><row r="233"><cell r="M233" t="str"><v>BRm</v></cell><cell r="N233"><v>5</v></cell></row><row r="234"><cell r="A234" t="str"><v>MNI.SPX</v></cell><cell r="B234" t="str"><v>Mnium sp.</v></cell></row><row r="234"><cell r="E234" t="str"><v>Hedw.      </v></cell></row><row r="234"><cell r="M234" t="str"><v>BRm</v></cell><cell r="N234"><v>5</v></cell></row><row r="235"><cell r="A235" t="str"><v>OCT.FON</v></cell><cell r="B235" t="str"><v>Octodiceras fontanum</v></cell><cell r="C235"><v>7</v></cell><cell r="D235"><v>3</v></cell><cell r="E235" t="str"><v>(B. Pyl.) Lindb.</v></cell><cell r="F235" t="str"><v>Fissidens fontanus (B. Pyl.) Steud.</v></cell><cell r="G235" t="str"><v>Fissidens julianus (Savi ex Lam. & DC.) Schimp.</v></cell><cell r="H235" t="str"><v>Octodiceras julianum (Savi ex Lam. & DC.) Brid.</v></cell></row><row r="235"><cell r="M235" t="str"><v>BRm</v></cell><cell r="N235"><v>5</v></cell></row><row r="235"><cell r="P235" t="str"><v>IBMR</v></cell></row><row r="236"><cell r="A236" t="str"><v>ORT.RIV</v></cell><cell r="B236" t="str"><v>Orthotrichum rivulare</v></cell><cell r="C236"><v>15</v></cell><cell r="D236"><v>3</v></cell><cell r="E236" t="str"><v>Turn.      </v></cell></row><row r="236"><cell r="M236" t="str"><v>BRm</v></cell><cell r="N236"><v>5</v></cell></row><row r="236"><cell r="P236" t="str"><v>IBMR</v></cell></row><row r="237"><cell r="A237" t="str"><v>ORT.SPX</v></cell><cell r="B237" t="str"><v>Orthotrichum sp.        </v></cell></row><row r="237"><cell r="E237" t="str"><v>Hedw.      </v></cell></row><row r="237"><cell r="M237" t="str"><v>BRm</v></cell><cell r="N237"><v>5</v></cell></row><row r="238"><cell r="A238" t="str"><v>PHI.CAL</v></cell><cell r="B238" t="str"><v>Philonotis calcarea</v></cell><cell r="C238"><v>18</v></cell><cell r="D238"><v>2</v></cell><cell r="E238" t="str"><v>(B. & S.) Schimp.    </v></cell><cell r="F238" t="str"><v>Bartramia calcarea B.E.</v></cell></row><row r="238"><cell r="M238" t="str"><v>BRm</v></cell><cell r="N238"><v>5</v></cell></row><row r="238"><cell r="P238" t="str"><v>IBMR</v></cell></row><row r="239"><cell r="A239" t="str"><v>PHI.FON</v></cell><cell r="B239" t="str"><v>Philonotis fontana et autres espèces, exclusion P. calcarea (P. gr. fontana)</v></cell><cell r="C239"><v>18</v></cell><cell r="D239"><v>3</v></cell><cell r="E239" t="str"><v>(Hedw.) Brid.</v></cell><cell r="F239" t="str"><v>Philonotis seriata Mitt.</v></cell><cell r="G239" t="str"><v>Philonotis arnellii Husn.</v></cell><cell r="H239" t="str"><v>Philonotis caespitosa Jur.</v></cell><cell r="I239" t="str"><v>Philonotis marchica (Hedw.) Brid.  </v></cell><cell r="J239" t="str"><v>Philonotis rigida Brid.  </v></cell></row><row r="239"><cell r="M239" t="str"><v>BRm</v></cell><cell r="N239"><v>5</v></cell></row><row r="239"><cell r="P239" t="str"><v>IBMR</v></cell></row><row r="240"><cell r="A240" t="str"><v>PHI.SPX</v></cell><cell r="B240" t="str"><v>Philonotis sp.</v></cell></row><row r="240"><cell r="E240" t="str"><v>Brid.</v></cell></row><row r="240"><cell r="M240" t="str"><v>BRm</v></cell><cell r="N240"><v>5</v></cell></row><row r="241"><cell r="A241" t="str"><v>PLI.AFF</v></cell><cell r="B241" t="str"><v>Plagiomnium affine</v></cell></row><row r="241"><cell r="E241" t="str"><v>(Bland.) T. Kop.    </v></cell><cell r="F241" t="str"><v>Mnium affine Bland.  </v></cell></row><row r="241"><cell r="M241" t="str"><v>BRm</v></cell><cell r="N241"><v>5</v></cell></row><row r="242"><cell r="A242" t="str"><v>PLI.MED</v></cell><cell r="B242" t="str"><v>Plagiomnium medium</v></cell></row><row r="242"><cell r="E242" t="str"><v>(B. & S.) T. Kop.    </v></cell><cell r="F242" t="str"><v>Mnium medium B. & S.   </v></cell></row><row r="242"><cell r="M242" t="str"><v>BRm</v></cell><cell r="N242"><v>5</v></cell></row><row r="243"><cell r="A243" t="str"><v>PLI.ROS</v></cell><cell r="B243" t="str"><v>Plagiomnium rostratum</v></cell></row><row r="243"><cell r="E243" t="str"><v>(Schrad.) T. Kop.    </v></cell><cell r="F243" t="str"><v>Mnium rostratum Schrad.</v></cell><cell r="G243" t="str"><v>Mnium longirostre Brid.</v></cell></row><row r="243"><cell r="M243" t="str"><v>BRm</v></cell><cell r="N243"><v>5</v></cell></row><row r="244"><cell r="A244" t="str"><v>PLI.SPX</v></cell><cell r="B244" t="str"><v>Plagiomnium sp.        </v></cell></row><row r="244"><cell r="E244" t="str"><v>T. Kop.    </v></cell></row><row r="244"><cell r="M244" t="str"><v>BRm</v></cell><cell r="N244"><v>5</v></cell></row><row r="245"><cell r="A245" t="str"><v>PLI.UND</v></cell><cell r="B245" t="str"><v>Plagiomnium undulatum</v></cell></row><row r="245"><cell r="E245" t="str"><v>(Hedw.) T. Kop.    </v></cell><cell r="F245" t="str"><v>Mnium undulatum Hedw.       </v></cell></row><row r="245"><cell r="M245" t="str"><v>BRm</v></cell><cell r="N245"><v>5</v></cell></row><row r="246"><cell r="A246" t="str"><v>PLA.DEN</v></cell><cell r="B246" t="str"><v>Plagiothecium denticulatum</v></cell></row><row r="246"><cell r="E246" t="str"><v>(Hedw.) B., S. & G.  </v></cell><cell r="F246" t="str"><v>Plagiothecium donnianum (Sm.) Mitt.</v></cell></row><row r="246"><cell r="M246" t="str"><v>BRm</v></cell><cell r="N246"><v>5</v></cell></row><row r="247"><cell r="A247" t="str"><v>PLA.NEM</v></cell><cell r="B247" t="str"><v>Plagiothecium nemorale</v></cell></row><row r="247"><cell r="E247" t="str"><v>(Mitt.) Jaeg.     </v></cell><cell r="F247" t="str"><v>Plagiothecium sylvaticum auct.</v></cell><cell r="G247" t="str"><v>Plagiothecium neglectum Mönk.</v></cell></row><row r="247"><cell r="M247" t="str"><v>BRm</v></cell><cell r="N247"><v>5</v></cell></row><row r="248"><cell r="A248" t="str"><v>PLA.PLA</v></cell><cell r="B248" t="str"><v>Plagiothecium platyphyllum</v></cell></row><row r="248"><cell r="E248" t="str"><v>Mönk.      </v></cell></row><row r="248"><cell r="M248" t="str"><v>BRm</v></cell><cell r="N248"><v>5</v></cell></row><row r="249"><cell r="A249" t="str"><v>PLA.SPX</v></cell><cell r="B249" t="str"><v>Plagiothecium sp.</v></cell></row><row r="249"><cell r="E249" t="str"><v>B., S. & G.</v></cell></row><row r="249"><cell r="M249" t="str"><v>BRm</v></cell><cell r="N249"><v>5</v></cell></row><row r="250"><cell r="A250" t="str"><v>PLA.UND</v></cell><cell r="B250" t="str"><v>Plagiothecium undulatum</v></cell></row><row r="250"><cell r="E250" t="str"><v>(Hedw.) B., S. & G.  </v></cell></row><row r="250"><cell r="M250" t="str"><v>BRm</v></cell><cell r="N250"><v>5</v></cell></row><row r="251"><cell r="A251" t="str"><v>RAC.ACI</v></cell><cell r="B251" t="str"><v>Racomitrium aciculare (Rhacomitrium aciculare)  </v></cell><cell r="C251"><v>18</v></cell><cell r="D251"><v>3</v></cell><cell r="E251" t="str"><v>(Hedw.) Brid.     </v></cell><cell r="F251" t="str"><v>Rhacomitrium aciculare (Hedw.) Brid.</v></cell></row><row r="251"><cell r="M251" t="str"><v>BRm</v></cell><cell r="N251"><v>5</v></cell></row><row r="251"><cell r="P251" t="str"><v>IBMR</v></cell></row><row r="252"><cell r="A252" t="str"><v>RAC.AQU</v></cell><cell r="B252" t="str"><v>Racomitrium aquaticum        </v></cell></row><row r="252"><cell r="E252" t="str"><v>(Schrad.) Brid.</v></cell><cell r="F252" t="str"><v>Racomitrium protensum (A. Braun) Hüb.</v></cell><cell r="G252" t="str"><v>Rhacomitrium aquaticum        </v></cell></row><row r="252"><cell r="M252" t="str"><v>BRm</v></cell><cell r="N252"><v>5</v></cell></row><row r="253"><cell r="A253" t="str"><v>RAC.SPX</v></cell><cell r="B253" t="str"><v>Racomitrium sp.        </v></cell></row><row r="253"><cell r="E253" t="str"><v>Brid.     </v></cell><cell r="F253" t="str"><v>Rhacomitrium sp. auct.</v></cell></row><row r="253"><cell r="M253" t="str"><v>BRm</v></cell><cell r="N253"><v>5</v></cell></row><row r="254"><cell r="A254" t="str"><v>RHZ.MAG</v></cell><cell r="B254" t="str"><v>Rhizomnium magnifolium </v></cell></row><row r="254"><cell r="E254" t="str"><v>(Horica) T. Kop.    </v></cell><cell r="F254" t="str"><v>Mnium punctatum Hedw. var. elatum Schimp.</v></cell><cell r="G254" t="str"><v>Rhizomnium perssonii T. Kop.</v></cell></row><row r="254"><cell r="M254" t="str"><v>BRm</v></cell><cell r="N254"><v>5</v></cell></row><row r="255"><cell r="A255" t="str"><v>RHZ.PSE</v></cell><cell r="B255" t="str"><v>Rhizomnium pseudopunctatum</v></cell></row><row r="255"><cell r="E255" t="str"><v>(B. & S.) T. Kop.  </v></cell><cell r="F255" t="str"><v>Mnium pseudopunctatum B. & S.</v></cell></row><row r="255"><cell r="M255" t="str"><v>BRm</v></cell><cell r="N255"><v>5</v></cell></row><row r="256"><cell r="A256" t="str"><v>RHZ.PUN</v></cell><cell r="B256" t="str"><v>Rhizomnium punctatum</v></cell></row><row r="256"><cell r="E256" t="str"><v>(Hedw.) T. Kop.</v></cell><cell r="F256" t="str"><v>Mnium punctatum Hedw. var. punctatum Hedw.</v></cell></row><row r="256"><cell r="M256" t="str"><v>BRm</v></cell><cell r="N256"><v>5</v></cell></row><row r="257"><cell r="A257" t="str"><v>RHZ.SPX</v></cell><cell r="B257" t="str"><v>Rhizomnium sp.        </v></cell></row><row r="257"><cell r="E257" t="str"><v>T. Kop.</v></cell></row><row r="257"><cell r="M257" t="str"><v>BRm</v></cell><cell r="N257"><v>5</v></cell></row><row r="258"><cell r="A258" t="str"><v>RHY.ALO</v></cell><cell r="B258" t="str"><v>Rhynchostegium alopecuroides</v></cell></row><row r="258"><cell r="E258" t="str"><v>(Brid.) A.J.E. Sm.    </v></cell><cell r="F258" t="str"><v>Rhynchostegium lusitanicum (Schimp.) A.J.E. Sm.</v></cell><cell r="G258" t="str"><v>Hygrohypnum lusitanicum (Schimp.) Corb.</v></cell><cell r="H258" t="str"><v>Eurhynchium alopecuroides (Brid.) P. Rich. & Wallace</v></cell></row><row r="258"><cell r="M258" t="str"><v>BRm</v></cell><cell r="N258"><v>5</v></cell></row><row r="259"><cell r="A259" t="str"><v>RHY.RIP</v></cell><cell r="B259" t="str"><v>Rhynchostegium riparioides (Platyhypnidium rusciforme)</v></cell><cell r="C259"><v>12</v></cell><cell r="D259"><v>1</v></cell><cell r="E259" t="str"><v>(Hedw.) Card.</v></cell><cell r="F259" t="str"><v>Platyhypnidium rusciforme Fleisch.</v></cell><cell r="G259" t="str"><v>Rhynchostegium rusciforme B., S. & G.</v></cell><cell r="H259" t="str"><v>Platyhypnidium riparioides (Hedw.) Dix.</v></cell><cell r="I259" t="str"><v>Eurynchium riparioides (Hedw.) P. Rich.</v></cell></row><row r="259"><cell r="M259" t="str"><v>BRm</v></cell><cell r="N259"><v>5</v></cell></row><row r="259"><cell r="P259" t="str"><v>IBMR</v></cell></row><row r="260"><cell r="A260" t="str"><v>RHY.SPX</v></cell><cell r="B260" t="str"><v>Rhynchostegium sp.</v></cell></row><row r="260"><cell r="E260" t="str"><v>B., S. & G.  </v></cell><cell r="F260" t="str"><v>Platyhypnidium sp. Fleisch.</v></cell></row><row r="260"><cell r="M260" t="str"><v>BRm</v></cell><cell r="N260"><v>5</v></cell></row><row r="261"><cell r="A261" t="str"><v>SCS.AGA</v></cell><cell r="B261" t="str"><v>Schistidium agassizii</v></cell></row><row r="261"><cell r="E261" t="str"><v>Sull. & Lesq.    </v></cell><cell r="F261" t="str"><v>Grimmia agassizii (Sull. & Lesq.) Jaeg.</v></cell><cell r="G261" t="str"><v>Grimmia alpicola Hedw.</v></cell><cell r="H261" t="str"><v>Schistidium alpicola (Hedw.) Limpr.</v></cell></row><row r="261"><cell r="M261" t="str"><v>BRm</v></cell><cell r="N261"><v>5</v></cell></row><row r="262"><cell r="A262" t="str"><v>SCS.RIV</v></cell><cell r="B262" t="str"><v>Schistidium rivulare        </v></cell><cell r="C262"><v>15</v></cell><cell r="D262"><v>3</v></cell><cell r="E262" t="str"><v>(Brid.) Podp.</v></cell><cell r="F262" t="str"><v>Schistidium alpicola auct.</v></cell><cell r="G262" t="str"><v>Schistidium helveticum (Schkuhr) Deguchi</v></cell><cell r="H262" t="str"><v>Grimmia alpicola Auct.</v></cell></row><row r="262"><cell r="M262" t="str"><v>BRm</v></cell><cell r="N262"><v>5</v></cell></row><row r="262"><cell r="P262" t="str"><v>IBMR</v></cell></row><row r="263"><cell r="A263" t="str"><v>SCS.SPX</v></cell><cell r="B263" t="str"><v>Schistidium sp.</v></cell></row><row r="263"><cell r="E263" t="str"><v>Brid.</v></cell></row><row r="263"><cell r="M263" t="str"><v>BRm</v></cell><cell r="N263"><v>5</v></cell></row><row r="264"><cell r="A264" t="str"><v>SPH.ANG</v></cell><cell r="B264" t="str"><v>Sphagnum angustifolium </v></cell></row><row r="264"><cell r="E264" t="str"><v>(C. Jens. ex Russ.) C. Jens. </v></cell><cell r="F264" t="str"><v>Sphagnum parvifolium (Warnst.) Warnst.</v></cell><cell r="G264" t="str"><v>Sphagnum recurvum var. tenue Klinggr.</v></cell></row><row r="264"><cell r="M264" t="str"><v>BRm</v></cell><cell r="N264"><v>5</v></cell></row><row r="265"><cell r="A265" t="str"><v>SPH.CAP</v></cell><cell r="B265" t="str"><v>Sphagnum capillifolium</v></cell></row><row r="265"><cell r="E265" t="str"><v>(Ehrh.) Hedw.     </v></cell><cell r="F265" t="str"><v>Sphagnum acutifolium Ehrh. ex Schrad.</v></cell><cell r="G265" t="str"><v>Sphagnum capillaceum (Weiss) Schrank</v></cell><cell r="H265" t="str"><v>Sphagnum nemoreum auct.</v></cell><cell r="I265" t="str"><v>Sphagnum subtile (Russ.) Warnst.</v></cell></row><row r="265"><cell r="M265" t="str"><v>BRm</v></cell><cell r="N265"><v>5</v></cell></row><row r="266"><cell r="A266" t="str"><v>SPH.DEN</v></cell><cell r="B266" t="str"><v>Sphagnum denticulatum (S. gr. inundatum)     </v></cell><cell r="C266"><v>20</v></cell><cell r="D266"><v>3</v></cell><cell r="E266" t="str"><v>Brid.      </v></cell><cell r="F266" t="str"><v>Sphagnum gr. inundatum</v></cell><cell r="G266" t="str"><v>Sphagnum lescurii Sull.</v></cell><cell r="H266" t="str"><v>Sphagnum auriculatum Schimp.</v></cell><cell r="I266" t="str"><v>Sphagnum rufescens (Nees & Hornsch.) Warnst.</v></cell></row><row r="266"><cell r="M266" t="str"><v>BRm</v></cell><cell r="N266"><v>5</v></cell></row><row r="266"><cell r="P266" t="str"><v>IBMR</v></cell></row><row r="267"><cell r="A267" t="str"><v>SPH.FAL</v></cell><cell r="B267" t="str"><v>Sphagnum fallax        </v></cell></row><row r="267"><cell r="E267" t="str"><v>(Klinggr.) Klinggr.   </v></cell><cell r="F267" t="str"><v>Sphagnum apiculatum Lindb.</v></cell><cell r="G267" t="str"><v>Sphagnum recurvum var. mucronatum Russ.</v></cell></row><row r="267"><cell r="M267" t="str"><v>BRm</v></cell><cell r="N267"><v>5</v></cell></row><row r="268"><cell r="A268" t="str"><v>SPH.FIM</v></cell><cell r="B268" t="str"><v>Sphagnum fimbriatum</v></cell></row><row r="268"><cell r="E268" t="str"><v>Wils.      </v></cell></row><row r="268"><cell r="M268" t="str"><v>BRm</v></cell><cell r="N268"><v>5</v></cell></row><row r="269"><cell r="A269" t="str"><v>SPH.FLE</v></cell><cell r="B269" t="str"><v>Sphagnum flexuosum</v></cell></row><row r="269"><cell r="E269" t="str"><v>Dozy & Molk.    </v></cell><cell r="F269" t="str"><v>Sphagnum amblyphyllum (Russ.) Zick.</v></cell><cell r="G269" t="str"><v>Sphagnum recurvum var. majus (Angstr. ex Warnst.) Warnst.</v></cell></row><row r="269"><cell r="M269" t="str"><v>BRm</v></cell><cell r="N269"><v>5</v></cell></row><row r="270"><cell r="A270" t="str"><v>SPH.PAL</v></cell><cell r="B270" t="str"><v>Sphagnum palustre  </v></cell><cell r="C270"><v>20</v></cell><cell r="D270"><v>3</v></cell><cell r="E270" t="str"><v>L.      </v></cell></row><row r="270"><cell r="M270" t="str"><v>BRm</v></cell><cell r="N270"><v>5</v></cell></row><row r="270"><cell r="P270" t="str"><v>IBMR</v></cell></row><row r="271"><cell r="A271" t="str"><v>SPH.PAP</v></cell><cell r="B271" t="str"><v>Sphagnum papillosum var. laeve</v></cell></row><row r="271"><cell r="E271" t="str"><v>Warnst.</v></cell><cell r="F271" t="str"><v>Sphagnum hakkodense Warnst. & Card. var. laeve</v></cell></row><row r="271"><cell r="M271" t="str"><v>BRm</v></cell><cell r="N271"><v>5</v></cell></row><row r="272"><cell r="A272" t="str"><v>SPH.SPX</v></cell><cell r="B272" t="str"><v>Sphagnum sp.        </v></cell></row><row r="272"><cell r="E272" t="str"><v>L.      </v></cell></row><row r="272"><cell r="M272" t="str"><v>BRm</v></cell><cell r="N272"><v>5</v></cell></row><row r="273"><cell r="A273" t="str"><v>SPH.SUB</v></cell><cell r="B273" t="str"><v>Sphagnum subsecundum</v></cell></row><row r="273"><cell r="E273" t="str"><v>Nees      </v></cell></row><row r="273"><cell r="M273" t="str"><v>BRm</v></cell><cell r="N273"><v>5</v></cell></row><row r="274"><cell r="A274" t="str"><v>THA.ALO</v></cell><cell r="B274" t="str"><v>Thamnobryum alopecurum (Thamnium alopecurum)</v></cell><cell r="C274"><v>15</v></cell><cell r="D274"><v>2</v></cell><cell r="E274" t="str"><v>(Hedw.) Gang.</v></cell><cell r="F274" t="str"><v>Thamnium alopecurum (Hedw.) B., S. & G.</v></cell><cell r="G274" t="str"><v>Thamnium mediterraneum (Bott.) G. Roth</v></cell></row><row r="274"><cell r="M274" t="str"><v>BRm</v></cell><cell r="N274"><v>5</v></cell></row><row r="274"><cell r="P274" t="str"><v>IBMR</v></cell></row><row r="275"><cell r="A275" t="str"><v>TOR.LAT</v></cell><cell r="B275" t="str"><v>Tortula latifolia</v></cell></row><row r="275"><cell r="E275" t="str"><v>Bruch ex Hartm.   </v></cell><cell r="F275" t="str"><v>Syntrichia latifolia (Bruch ex Hartm.) Hüb.</v></cell></row><row r="275"><cell r="M275" t="str"><v>BRm</v></cell><cell r="N275"><v>5</v></cell></row><row r="276"><cell r="B276" t="str"><v>- PTERIDOPHYTES -</v></cell></row><row r="276"><cell r="E276" t="str"><v>      </v></cell></row><row r="276"><cell r="M276" t="str"><v>PT</v></cell><cell r="N276"><v>5.9</v></cell></row><row r="276"><cell r="P276" t="str"><v>IBMR</v></cell></row><row r="277"><cell r="A277" t="str"><v>ADI.CAP</v></cell><cell r="B277" t="str"><v>Adianthum capillus veneris</v></cell></row><row r="277"><cell r="E277" t="str"><v>veneris L.     </v></cell></row><row r="277"><cell r="M277" t="str"><v>PTE</v></cell><cell r="N277"><v>6</v></cell></row><row r="278"><cell r="A278" t="str"><v>ATH.FIL</v></cell><cell r="B278" t="str"><v>Athyrium filix-femina</v></cell></row><row r="278"><cell r="E278" t="str"><v>(L.) Roth.     </v></cell></row><row r="278"><cell r="M278" t="str"><v>PTE</v></cell><cell r="N278"><v>6</v></cell></row><row r="279"><cell r="A279" t="str"><v>AZO.CAR</v></cell><cell r="B279" t="str"><v>Azolla caroliniana        </v></cell></row><row r="279"><cell r="E279" t="str"><v>      </v></cell></row><row r="279"><cell r="M279" t="str"><v>PTE</v></cell><cell r="N279"><v>6</v></cell></row><row r="280"><cell r="A280" t="str"><v>AZO.FIL</v></cell><cell r="B280" t="str"><v>Azolla filiculoides</v></cell><cell r="C280"><v>6</v></cell><cell r="D280"><v>3</v></cell><cell r="E280" t="str"><v>lam.      </v></cell></row><row r="280"><cell r="M280" t="str"><v>PTE</v></cell><cell r="N280"><v>6</v></cell></row><row r="280"><cell r="P280" t="str"><v>IBMR</v></cell></row><row r="281"><cell r="A281" t="str"><v>AZO.SPX</v></cell><cell r="B281" t="str"><v>Azolla sp.</v></cell></row><row r="281"><cell r="E281" t="str"><v>      </v></cell></row><row r="281"><cell r="M281" t="str"><v>PTE</v></cell><cell r="N281"><v>6</v></cell></row><row r="282"><cell r="A282" t="str"><v>BLE.SPI</v></cell><cell r="B282" t="str"><v>Blechnum spicant</v></cell></row><row r="282"><cell r="E282" t="str"><v>(L.) Roth.     </v></cell></row><row r="282"><cell r="M282" t="str"><v>PTE</v></cell><cell r="N282"><v>6</v></cell></row><row r="283"><cell r="A283" t="str"><v>CEA.THA</v></cell><cell r="B283" t="str"><v>Ceratopteris thalictroides        </v></cell></row><row r="283"><cell r="E283" t="str"><v>      </v></cell></row><row r="283"><cell r="M283" t="str"><v>PTE</v></cell><cell r="N283"><v>6</v></cell></row><row r="284"><cell r="A284" t="str"><v>DRY.CAR</v></cell><cell r="B284" t="str"><v>Dryopteris carthusiana</v></cell></row><row r="284"><cell r="E284" t="str"><v>(Villar) H.P. Fuschs    </v></cell></row><row r="284"><cell r="M284" t="str"><v>PTE</v></cell><cell r="N284"><v>6</v></cell></row><row r="285"><cell r="A285" t="str"><v>EQU.ARV</v></cell><cell r="B285" t="str"><v>Equisetum arvense   </v></cell></row><row r="285"><cell r="E285" t="str"><v>L.      </v></cell></row><row r="285"><cell r="M285" t="str"><v>PTE</v></cell><cell r="N285"><v>6</v></cell></row><row r="286"><cell r="A286" t="str"><v>EQU.FLU</v></cell><cell r="B286" t="str"><v>Equisetum fluviatile</v></cell><cell r="C286"><v>12</v></cell><cell r="D286"><v>2</v></cell><cell r="E286" t="str"><v>L.      </v></cell><cell r="F286" t="str"><v>Equisetum limosum</v></cell></row><row r="286"><cell r="M286" t="str"><v>PTE</v></cell><cell r="N286"><v>6</v></cell></row><row r="286"><cell r="P286" t="str"><v>IBMR</v></cell></row><row r="287"><cell r="A287" t="str"><v>EQU.MAX</v></cell><cell r="B287" t="str"><v>Equisetum maximum</v></cell></row><row r="287"><cell r="E287" t="str"><v>Lam.      </v></cell></row><row r="287"><cell r="M287" t="str"><v>PTE</v></cell><cell r="N287"><v>6</v></cell></row><row r="288"><cell r="A288" t="str"><v>EQU.PAL</v></cell><cell r="B288" t="str"><v>Equisetum palustre</v></cell><cell r="C288"><v>10</v></cell><cell r="D288"><v>1</v></cell><cell r="E288" t="str"><v>L.      </v></cell></row><row r="288"><cell r="M288" t="str"><v>PTE</v></cell><cell r="N288"><v>6</v></cell></row><row r="288"><cell r="P288" t="str"><v>IBMR</v></cell></row><row r="289"><cell r="A289" t="str"><v>EQU.PRA</v></cell><cell r="B289" t="str"><v>Equisetum pratense        </v></cell></row><row r="289"><cell r="E289" t="str"><v>      </v></cell></row><row r="289"><cell r="M289" t="str"><v>PTE</v></cell><cell r="N289"><v>6</v></cell></row><row r="290"><cell r="A290" t="str"><v>EQU.SPX</v></cell><cell r="B290" t="str"><v>Equisetum sp.</v></cell></row><row r="290"><cell r="E290" t="str"><v>      </v></cell></row><row r="290"><cell r="M290" t="str"><v>PTE</v></cell><cell r="N290"><v>6</v></cell></row><row r="291"><cell r="A291" t="str"><v>EQU.LIT</v></cell><cell r="B291" t="str"><v>Equisetum x litorale</v></cell></row><row r="291"><cell r="E291" t="str"><v>Kuhlew ex Rupr.    </v></cell></row><row r="291"><cell r="M291" t="str"><v>PTE</v></cell><cell r="N291"><v>6</v></cell></row><row r="292"><cell r="A292" t="str"><v>ISO.AZO</v></cell><cell r="B292" t="str"><v>Isoetes azorica        </v></cell></row><row r="292"><cell r="E292" t="str"><v>      </v></cell></row><row r="292"><cell r="M292" t="str"><v>PTE</v></cell><cell r="N292"><v>6</v></cell></row><row r="293"><cell r="A293" t="str"><v>ISO.BOR</v></cell><cell r="B293" t="str"><v>Isoetes boryana        </v></cell></row><row r="293"><cell r="E293" t="str"><v>      </v></cell></row><row r="293"><cell r="M293" t="str"><v>PTE</v></cell><cell r="N293"><v>6</v></cell></row><row r="294"><cell r="A294" t="str"><v>ISO.BRO</v></cell><cell r="B294" t="str"><v>Isoetes brochonii        </v></cell></row><row r="294"><cell r="E294" t="str"><v>      </v></cell></row><row r="294"><cell r="M294" t="str"><v>PTE</v></cell><cell r="N294"><v>6</v></cell></row><row r="295"><cell r="A295" t="str"><v>ISO.ECH</v></cell><cell r="B295" t="str"><v>Isoetes echinospora       </v></cell></row><row r="295"><cell r="E295" t="str"><v>Durieu      </v></cell></row><row r="295"><cell r="M295" t="str"><v>PTE</v></cell><cell r="N295"><v>6</v></cell></row><row r="296"><cell r="A296" t="str"><v>ISO.LAC</v></cell><cell r="B296" t="str"><v>Isoetes lacustris.       </v></cell></row><row r="296"><cell r="E296" t="str"><v>L.      </v></cell></row><row r="296"><cell r="M296" t="str"><v>PTE</v></cell><cell r="N296"><v>6</v></cell></row><row r="297"><cell r="A297" t="str"><v>ISO.LON</v></cell><cell r="B297" t="str"><v>Isoetes longissima        </v></cell></row><row r="297"><cell r="E297" t="str"><v>      </v></cell></row><row r="297"><cell r="M297" t="str"><v>PTE</v></cell><cell r="N297"><v>6</v></cell></row><row r="298"><cell r="A298" t="str"><v>ISO.MAL</v></cell><cell r="B298" t="str"><v>Isoetes malinverniana        </v></cell></row><row r="298"><cell r="E298" t="str"><v>      </v></cell></row><row r="298"><cell r="M298" t="str"><v>PTE</v></cell><cell r="N298"><v>6</v></cell></row><row r="299"><cell r="A299" t="str"><v>ISO.SPX</v></cell><cell r="B299" t="str"><v>Isoetes sp.</v></cell></row><row r="299"><cell r="E299" t="str"><v>      </v></cell></row><row r="299"><cell r="M299" t="str"><v>PTE</v></cell><cell r="N299"><v>6</v></cell></row><row r="300"><cell r="A300" t="str"><v>ISO.VEL</v></cell><cell r="B300" t="str"><v>Isoetes velata        </v></cell></row><row r="300"><cell r="E300" t="str"><v>      </v></cell></row><row r="300"><cell r="M300" t="str"><v>PTE</v></cell><cell r="N300"><v>6</v></cell></row><row r="301"><cell r="A301" t="str"><v>ISO.AST</v></cell><cell r="B301" t="str"><v>Isoetes velata subsp. asturicense      </v></cell></row><row r="301"><cell r="E301" t="str"><v>      </v></cell></row><row r="301"><cell r="M301" t="str"><v>PTE</v></cell><cell r="N301"><v>6</v></cell></row><row r="302"><cell r="A302" t="str"><v>ISO.TEG</v></cell><cell r="B302" t="str"><v>Isoetes velata subsp. tegulensis      </v></cell></row><row r="302"><cell r="E302" t="str"><v>      </v></cell></row><row r="302"><cell r="M302" t="str"><v>PTE</v></cell><cell r="N302"><v>6</v></cell></row><row r="303"><cell r="A303" t="str"><v>ISO.TEN</v></cell><cell r="B303" t="str"><v>Isoetes velata subsp. tenuissima      </v></cell></row><row r="303"><cell r="E303" t="str"><v>      </v></cell></row><row r="303"><cell r="M303" t="str"><v>PTE</v></cell><cell r="N303"><v>6</v></cell></row><row r="304"><cell r="A304" t="str"><v>ISO.VEV</v></cell><cell r="B304" t="str"><v>Isoetes velata subsp. velata      </v></cell></row><row r="304"><cell r="E304" t="str"><v>      </v></cell></row><row r="304"><cell r="M304" t="str"><v>PTE</v></cell><cell r="N304"><v>6</v></cell></row><row r="305"><cell r="A305" t="str"><v>OSM.REG</v></cell><cell r="B305" t="str"><v>Osmunda regalis        </v></cell></row><row r="305"><cell r="E305" t="str"><v>      </v></cell></row><row r="305"><cell r="M305" t="str"><v>PTE</v></cell><cell r="N305"><v>6</v></cell></row><row r="306"><cell r="A306" t="str"><v>PIL.GLO</v></cell><cell r="B306" t="str"><v>Pilularia globulifera   </v></cell></row><row r="306"><cell r="E306" t="str"><v>L.      </v></cell></row><row r="306"><cell r="M306" t="str"><v>PTE</v></cell><cell r="N306"><v>6</v></cell></row><row r="307"><cell r="A307" t="str"><v>PIL.MIN</v></cell><cell r="B307" t="str"><v>Pilularia minuta        </v></cell></row><row r="307"><cell r="E307" t="str"><v>      </v></cell></row><row r="307"><cell r="M307" t="str"><v>PTE</v></cell><cell r="N307"><v>6</v></cell></row><row r="308"><cell r="A308" t="str"><v>SAL.NAT</v></cell><cell r="B308" t="str"><v>Salvinia natans</v></cell></row><row r="308"><cell r="E308" t="str"><v>(L.) All.     </v></cell></row><row r="308"><cell r="M308" t="str"><v>PTE</v></cell><cell r="N308"><v>6</v></cell></row><row r="309"><cell r="A309" t="str"><v>THE.PAL</v></cell><cell r="B309" t="str"><v>Thelypteris palustris        </v></cell></row><row r="309"><cell r="E309" t="str"><v>      </v></cell></row><row r="309"><cell r="M309" t="str"><v>PTE</v></cell><cell r="N309"><v>6</v></cell></row><row r="310"><cell r="B310" t="str"><v>- PHANEROGAMES -</v></cell></row><row r="310"><cell r="E310" t="str"><v>      </v></cell></row><row r="310"><cell r="M310" t="str"><v>PH</v></cell><cell r="N310"><v>6.8</v></cell></row><row r="310"><cell r="P310" t="str"><v>IBMR</v></cell></row><row r="311"><cell r="B311" t="str"><v>- HYDROPHYTES</v></cell></row><row r="311"><cell r="M311" t="str"><v>PH</v></cell><cell r="N311"><v>7</v></cell></row><row r="311"><cell r="P311" t="str"><v>IBMR</v></cell></row><row r="312"><cell r="A312" t="str"><v>ALD.VES</v></cell><cell r="B312" t="str"><v>Aldrovanda vesiculosa        </v></cell></row><row r="312"><cell r="E312" t="str"><v>      </v></cell></row><row r="312"><cell r="M312" t="str"><v>PHy</v></cell><cell r="N312"><v>7</v></cell><cell r="O312" t="str"><v>HYD</v></cell></row><row r="313"><cell r="A313" t="str"><v>ALT.FIL</v></cell><cell r="B313" t="str"><v>Althenia filiformis        </v></cell></row><row r="313"><cell r="E313" t="str"><v>      </v></cell></row><row r="313"><cell r="M313" t="str"><v>PHy</v></cell><cell r="N313"><v>7</v></cell><cell r="O313" t="str"><v>HYD</v></cell></row><row r="314"><cell r="A314" t="str"><v>ALT.ORI</v></cell><cell r="B314" t="str"><v>Althenia orientalis        </v></cell></row><row r="314"><cell r="E314" t="str"><v>      </v></cell></row><row r="314"><cell r="M314" t="str"><v>PHy</v></cell><cell r="N314"><v>7</v></cell><cell r="O314" t="str"><v>HYD</v></cell></row><row r="315"><cell r="A315" t="str"><v>API.INU</v></cell><cell r="B315" t="str"><v>Apium inundatum (Sium inundatum)</v></cell><cell r="C315"><v>17</v></cell><cell r="D315"><v>3</v></cell><cell r="E315" t="str"><v>L.      </v></cell><cell r="F315" t="str"><v>Sium inundatum</v></cell></row><row r="315"><cell r="M315" t="str"><v>PHy</v></cell><cell r="N315"><v>7</v></cell><cell r="O315" t="str"><v>HYD</v></cell><cell r="P315" t="str"><v>IBMR</v></cell></row><row r="316"><cell r="A316" t="str"><v>API.NOD</v></cell><cell r="B316" t="str"><v>Apium nodiflorum (Sium nodiflorum)</v></cell><cell r="C316"><v>10</v></cell><cell r="D316"><v>1</v></cell><cell r="E316" t="str"><v>(L.) Lag.     </v></cell><cell r="F316" t="str"><v>Sium nodiflorum</v></cell><cell r="G316" t="str"><v>Helosciadium nodiflorum</v></cell></row><row r="316"><cell r="M316" t="str"><v>PHy</v></cell><cell r="N316"><v>7</v></cell><cell r="O316" t="str"><v>HYD</v></cell><cell r="P316" t="str"><v>IBMR</v></cell></row><row r="317"><cell r="A317" t="str"><v>APO.DIS</v></cell><cell r="B317" t="str"><v>Aponogeton distachyos        </v></cell></row><row r="317"><cell r="E317" t="str"><v>      </v></cell></row><row r="317"><cell r="M317" t="str"><v>PHy</v></cell><cell r="N317"><v>7</v></cell><cell r="O317" t="str"><v>HYD</v></cell></row><row r="318"><cell r="A318" t="str"><v>CAB.CAR</v></cell><cell r="B318" t="str"><v>Cabomba caroliniana</v></cell></row><row r="318"><cell r="E318" t="str"><v>Gray      </v></cell></row><row r="318"><cell r="M318" t="str"><v>PHy</v></cell><cell r="N318"><v>7</v></cell><cell r="O318" t="str"><v>HYD</v></cell></row><row r="319"><cell r="A319" t="str"><v>CAD.PAR</v></cell><cell r="B319" t="str"><v>Caldesia parnassifolia        </v></cell></row><row r="319"><cell r="E319" t="str"><v>      </v></cell></row><row r="319"><cell r="M319" t="str"><v>PHy</v></cell><cell r="N319"><v>7</v></cell><cell r="O319" t="str"><v>HYD</v></cell></row><row r="320"><cell r="A320" t="str"><v>CAL.SPX</v></cell><cell r="B320" t="str"><v>Callitiriche sp.        </v></cell></row><row r="320"><cell r="E320" t="str"><v>      </v></cell></row><row r="320"><cell r="M320" t="str"><v>PHy</v></cell><cell r="N320"><v>7</v></cell><cell r="O320" t="str"><v>HYD</v></cell></row><row r="321"><cell r="A321" t="str"><v>CAL.BRU</v></cell><cell r="B321" t="str"><v>Callitriche brutia</v></cell></row><row r="321"><cell r="E321" t="str"><v>Pet.      </v></cell></row><row r="321"><cell r="M321" t="str"><v>PHy</v></cell><cell r="N321"><v>7</v></cell><cell r="O321" t="str"><v>HYD</v></cell></row><row r="322"><cell r="A322" t="str"><v>CAL.COP</v></cell><cell r="B322" t="str"><v>Callitriche cophocarpa</v></cell></row><row r="322"><cell r="E322" t="str"><v>Sendtn.      </v></cell></row><row r="322"><cell r="M322" t="str"><v>PHy</v></cell><cell r="N322"><v>7</v></cell><cell r="O322" t="str"><v>HYD</v></cell></row><row r="323"><cell r="A323" t="str"><v>CAL.CRI</v></cell><cell r="B323" t="str"><v>Callitriche cribrosa        </v></cell></row><row r="323"><cell r="E323" t="str"><v>      </v></cell></row><row r="323"><cell r="M323" t="str"><v>PHy</v></cell><cell r="N323"><v>7</v></cell><cell r="O323" t="str"><v>HYD</v></cell></row><row r="324"><cell r="A324" t="str"><v>CAL.HAM</v></cell><cell r="B324" t="str"><v>Callitriche hamulata</v></cell><cell r="C324"><v>12</v></cell><cell r="D324"><v>1</v></cell><cell r="E324" t="str"><v>Kützing ex Koch    </v></cell><cell r="F324" t="str"><v>Callitriche intermedia subsp. hamulata</v></cell></row><row r="324"><cell r="M324" t="str"><v>PHy</v></cell><cell r="N324"><v>7</v></cell><cell r="O324" t="str"><v>HYD</v></cell><cell r="P324" t="str"><v>IBMR</v></cell></row><row r="325"><cell r="A325" t="str"><v>CAL.HER</v></cell><cell r="B325" t="str"><v>Callitriche hermaphroditica      </v></cell></row><row r="325"><cell r="E325" t="str"><v>L.      </v></cell></row><row r="325"><cell r="M325" t="str"><v>PHy</v></cell><cell r="N325"><v>7</v></cell><cell r="O325" t="str"><v>HYD</v></cell></row><row r="326"><cell r="A326" t="str"><v>CAL.MAC</v></cell><cell r="B326" t="str"><v>Callitriche hermaphroditica var microcarpa      </v></cell></row><row r="326"><cell r="E326" t="str"><v>      </v></cell></row><row r="326"><cell r="M326" t="str"><v>PHy</v></cell><cell r="N326"><v>7</v></cell><cell r="O326" t="str"><v>HYD</v></cell></row><row r="327"><cell r="A327" t="str"><v>CAL.MIC</v></cell><cell r="B327" t="str"><v>Callitriche hermaphroditica var. macrocarpa      </v></cell></row><row r="327"><cell r="E327" t="str"><v>      </v></cell></row><row r="327"><cell r="M327" t="str"><v>PHy</v></cell><cell r="N327"><v>7</v></cell><cell r="O327" t="str"><v>HYD</v></cell></row><row r="328"><cell r="A328" t="str"><v>CAL.LEN</v></cell><cell r="B328" t="str"><v>Callitriche lenisulca        </v></cell></row><row r="328"><cell r="E328" t="str"><v>      </v></cell></row><row r="328"><cell r="M328" t="str"><v>PHy</v></cell><cell r="N328"><v>7</v></cell><cell r="O328" t="str"><v>HYD</v></cell></row><row r="329"><cell r="A329" t="str"><v>CAL.LUS</v></cell><cell r="B329" t="str"><v>Callitriche lusitanica        </v></cell></row><row r="329"><cell r="E329" t="str"><v>      </v></cell></row><row r="329"><cell r="M329" t="str"><v>PHy</v></cell><cell r="N329"><v>7</v></cell><cell r="O329" t="str"><v>HYD</v></cell></row><row r="330"><cell r="A330" t="str"><v>CAL.OBT</v></cell><cell r="B330" t="str"><v>Callitriche obtusangula</v></cell><cell r="C330"><v>8</v></cell><cell r="D330"><v>2</v></cell><cell r="E330" t="str"><v>Le Gall     </v></cell></row><row r="330"><cell r="M330" t="str"><v>PHy</v></cell><cell r="N330"><v>7</v></cell><cell r="O330" t="str"><v>HYD</v></cell><cell r="P330" t="str"><v>IBMR</v></cell></row><row r="331"><cell r="A331" t="str"><v>CAL.PAL</v></cell><cell r="B331" t="str"><v>Callitriche palustris</v></cell></row><row r="331"><cell r="E331" t="str"><v>L.      </v></cell></row><row r="331"><cell r="M331" t="str"><v>PHy</v></cell><cell r="N331"><v>7</v></cell><cell r="O331" t="str"><v>HYD</v></cell></row><row r="332"><cell r="A332" t="str"><v>CAL.PLA</v></cell><cell r="B332" t="str"><v>Callitriche platycarpa</v></cell><cell r="C332"><v>10</v></cell><cell r="D332"><v>1</v></cell><cell r="E332" t="str"><v>Kützing      </v></cell></row><row r="332"><cell r="M332" t="str"><v>PHy</v></cell><cell r="N332"><v>7</v></cell><cell r="O332" t="str"><v>HYD</v></cell><cell r="P332" t="str"><v>IBMR</v></cell></row><row r="333"><cell r="A333" t="str"><v>CAL.PUL</v></cell><cell r="B333" t="str"><v>Callitriche pulchra        </v></cell></row><row r="333"><cell r="E333" t="str"><v>      </v></cell></row><row r="333"><cell r="M333" t="str"><v>PHy</v></cell><cell r="N333"><v>7</v></cell><cell r="O333" t="str"><v>HYD</v></cell></row><row r="334"><cell r="A334" t="str"><v>CAL.REG</v></cell><cell r="B334" t="str"><v>Callitriche regis-jubae        </v></cell></row><row r="334"><cell r="E334" t="str"><v>      </v></cell></row><row r="334"><cell r="M334" t="str"><v>PHy</v></cell><cell r="N334"><v>7</v></cell><cell r="O334" t="str"><v>HYD</v></cell></row><row r="335"><cell r="A335" t="str"><v>CAL.STA</v></cell><cell r="B335" t="str"><v>Callitriche stagnalis</v></cell><cell r="C335"><v>12</v></cell><cell r="D335"><v>2</v></cell><cell r="E335" t="str"><v>Scop.      </v></cell></row><row r="335"><cell r="M335" t="str"><v>PHy</v></cell><cell r="N335"><v>7</v></cell><cell r="O335" t="str"><v>HYD</v></cell><cell r="P335" t="str"><v>IBMR</v></cell></row><row r="336"><cell r="A336" t="str"><v>CAL.FIM</v></cell><cell r="B336" t="str"><v>Callitriche truncata subsp. fimbriata      </v></cell></row><row r="336"><cell r="E336" t="str"><v>      </v></cell></row><row r="336"><cell r="M336" t="str"><v>PHy</v></cell><cell r="N336"><v>7</v></cell><cell r="O336" t="str"><v>HYD</v></cell></row><row r="337"><cell r="A337" t="str"><v>CAL.OCC</v></cell><cell r="B337" t="str"><v>Callitriche truncata subsp. occidentalis</v></cell><cell r="C337"><v>10</v></cell><cell r="D337"><v>2</v></cell><cell r="E337" t="str"><v>      </v></cell><cell r="F337" t="str"><v>Callitriche truncata subsp. truncata</v></cell></row><row r="337"><cell r="M337" t="str"><v>PHy</v></cell><cell r="N337"><v>7</v></cell><cell r="O337" t="str"><v>HYD</v></cell><cell r="P337" t="str"><v>IBMR</v></cell></row><row r="338"><cell r="A338" t="str"><v>CAL.VIG</v></cell><cell r="B338" t="str"><v>Callitriche x vigens       </v></cell></row><row r="338"><cell r="E338" t="str"><v>      </v></cell></row><row r="338"><cell r="M338" t="str"><v>PHy</v></cell><cell r="N338"><v>7</v></cell><cell r="O338" t="str"><v>HYD</v></cell></row><row r="339"><cell r="A339" t="str"><v>CER.DEM</v></cell><cell r="B339" t="str"><v>Ceratophyllum demersum    </v></cell><cell r="C339"><v>5</v></cell><cell r="D339"><v>2</v></cell><cell r="E339" t="str"><v>L.      </v></cell></row><row r="339"><cell r="M339" t="str"><v>PHy</v></cell><cell r="N339"><v>7</v></cell><cell r="O339" t="str"><v>HYD</v></cell><cell r="P339" t="str"><v>IBMR</v></cell></row><row r="340"><cell r="A340" t="str"><v>CER.API</v></cell><cell r="B340" t="str"><v>Ceratophyllum demersum var. apiculatum      </v></cell></row><row r="340"><cell r="E340" t="str"><v>      </v></cell></row><row r="340"><cell r="M340" t="str"><v>PHy</v></cell><cell r="N340"><v>7</v></cell><cell r="O340" t="str"><v>HYD</v></cell></row><row r="341"><cell r="A341" t="str"><v>CER.INE</v></cell><cell r="B341" t="str"><v>Ceratophyllum demersum var. inerme      </v></cell></row><row r="341"><cell r="E341" t="str"><v>      </v></cell></row><row r="341"><cell r="M341" t="str"><v>PHy</v></cell><cell r="N341"><v>7</v></cell><cell r="O341" t="str"><v>HYD</v></cell></row><row r="342"><cell r="A342" t="str"><v>CER.MUR</v></cell><cell r="B342" t="str"><v>Ceratophyllum muricatum        </v></cell></row><row r="342"><cell r="E342" t="str"><v>      </v></cell></row><row r="342"><cell r="M342" t="str"><v>PHy</v></cell><cell r="N342"><v>7</v></cell><cell r="O342" t="str"><v>HYD</v></cell></row><row r="343"><cell r="A343" t="str"><v>CER.PLA</v></cell><cell r="B343" t="str"><v>Ceratophyllum platyacanthum        </v></cell></row><row r="343"><cell r="E343" t="str"><v>      </v></cell></row><row r="343"><cell r="M343" t="str"><v>PHy</v></cell><cell r="N343"><v>7</v></cell><cell r="O343" t="str"><v>HYD</v></cell></row><row r="344"><cell r="A344" t="str"><v>CER.SPX</v></cell><cell r="B344" t="str"><v>Ceratophyllum sp.</v></cell></row><row r="344"><cell r="E344" t="str"><v>      </v></cell></row><row r="344"><cell r="M344" t="str"><v>PHy</v></cell><cell r="N344"><v>7</v></cell><cell r="O344" t="str"><v>HYD</v></cell></row><row r="345"><cell r="A345" t="str"><v>CER.SUB</v></cell><cell r="B345" t="str"><v>Ceratophyllum submersum</v></cell><cell r="C345"><v>2</v></cell><cell r="D345"><v>3</v></cell><cell r="E345" t="str"><v>L.      </v></cell></row><row r="345"><cell r="M345" t="str"><v>PHy</v></cell><cell r="N345"><v>7</v></cell><cell r="O345" t="str"><v>HYD</v></cell><cell r="P345" t="str"><v>IBMR</v></cell></row><row r="346"><cell r="A346" t="str"><v>EGE.DEN</v></cell><cell r="B346" t="str"><v>Egeria densa       </v></cell></row><row r="346"><cell r="E346" t="str"><v>Planch      </v></cell></row><row r="346"><cell r="M346" t="str"><v>PHy</v></cell><cell r="N346"><v>7</v></cell><cell r="O346" t="str"><v>HYD</v></cell></row><row r="347"><cell r="A347" t="str"><v>EIC.CRA</v></cell><cell r="B347" t="str"><v>Eichhornia crassipes        </v></cell></row><row r="347"><cell r="E347" t="str"><v>      </v></cell></row><row r="347"><cell r="M347" t="str"><v>PHy</v></cell><cell r="N347"><v>7</v></cell><cell r="O347" t="str"><v>HYD</v></cell></row><row r="348"><cell r="A348" t="str"><v>EIC.SPX</v></cell><cell r="B348" t="str"><v>Eichhornia sp.</v></cell></row><row r="348"><cell r="E348" t="str"><v>      </v></cell></row><row r="348"><cell r="M348" t="str"><v>PHy</v></cell><cell r="N348"><v>7</v></cell><cell r="O348" t="str"><v>HYD</v></cell></row><row r="349"><cell r="A349" t="str"><v>ELO.CAL</v></cell><cell r="B349" t="str"><v>Elodea callitrichoides        </v></cell></row><row r="349"><cell r="E349" t="str"><v>      </v></cell></row><row r="349"><cell r="M349" t="str"><v>PHy</v></cell><cell r="N349"><v>7</v></cell><cell r="O349" t="str"><v>HYD</v></cell></row><row r="350"><cell r="A350" t="str"><v>ELO.CAN</v></cell><cell r="B350" t="str"><v>Elodea canadensis</v></cell><cell r="C350"><v>10</v></cell><cell r="D350"><v>2</v></cell><cell r="E350" t="str"><v>Michx      </v></cell></row><row r="350"><cell r="M350" t="str"><v>PHy</v></cell><cell r="N350"><v>7</v></cell><cell r="O350" t="str"><v>HYD</v></cell><cell r="P350" t="str"><v>IBMR</v></cell></row><row r="351"><cell r="A351" t="str"><v>ELO.ERN</v></cell><cell r="B351" t="str"><v>Elodea ernstiae        </v></cell></row><row r="351"><cell r="E351" t="str"><v>      </v></cell></row><row r="351"><cell r="M351" t="str"><v>PHy</v></cell><cell r="N351"><v>7</v></cell><cell r="O351" t="str"><v>HYD</v></cell></row><row r="352"><cell r="A352" t="str"><v>ELO.NUT</v></cell><cell r="B352" t="str"><v>Elodea nuttallii</v></cell><cell r="C352"><v>8</v></cell><cell r="D352"><v>2</v></cell><cell r="E352" t="str"><v>(Planchon) St John    </v></cell></row><row r="352"><cell r="M352" t="str"><v>PHy</v></cell><cell r="N352"><v>7</v></cell><cell r="O352" t="str"><v>HYD</v></cell><cell r="P352" t="str"><v>IBMR</v></cell></row><row r="353"><cell r="A353" t="str"><v>ELO.SPX</v></cell><cell r="B353" t="str"><v>Elodea sp.</v></cell></row><row r="353"><cell r="E353" t="str"><v>      </v></cell></row><row r="353"><cell r="M353" t="str"><v>PHy</v></cell><cell r="N353"><v>7</v></cell><cell r="O353" t="str"><v>HYD</v></cell></row><row r="354"><cell r="A354" t="str"><v>GRO.DEN</v></cell><cell r="B354" t="str"><v>Groenlandia densa (Potamogeton densus)</v></cell><cell r="C354"><v>11</v></cell><cell r="D354"><v>2</v></cell><cell r="E354" t="str"><v>(L.) Fourr.     </v></cell><cell r="F354" t="str"><v>Potamogeton densus</v></cell></row><row r="354"><cell r="M354" t="str"><v>PHy</v></cell><cell r="N354"><v>7</v></cell><cell r="O354" t="str"><v>HYD</v></cell><cell r="P354" t="str"><v>IBMR</v></cell></row><row r="355"><cell r="A355" t="str"><v>HEE.REN</v></cell><cell r="B355" t="str"><v>Heteranthera reniformis        </v></cell></row><row r="355"><cell r="E355" t="str"><v>      </v></cell></row><row r="355"><cell r="M355" t="str"><v>PHy</v></cell><cell r="N355"><v>7</v></cell><cell r="O355" t="str"><v>HYD</v></cell></row><row r="356"><cell r="A356" t="str"><v>HIP.SPX</v></cell><cell r="B356" t="str"><v>Hippuris sp.</v></cell></row><row r="356"><cell r="E356" t="str"><v>      </v></cell></row><row r="356"><cell r="M356" t="str"><v>PHy</v></cell><cell r="N356"><v>7</v></cell><cell r="O356" t="str"><v>HYD</v></cell></row><row r="357"><cell r="A357" t="str"><v>HIP.VUL</v></cell><cell r="B357" t="str"><v>Hippuris vulgaris</v></cell><cell r="C357"><v>12</v></cell><cell r="D357"><v>2</v></cell><cell r="E357" t="str"><v>L.      </v></cell></row><row r="357"><cell r="M357" t="str"><v>PHy</v></cell><cell r="N357"><v>7</v></cell><cell r="O357" t="str"><v>HYD</v></cell><cell r="P357" t="str"><v>IBMR</v></cell></row><row r="358"><cell r="A358" t="str"><v>HOT.PAL</v></cell><cell r="B358" t="str"><v>Hottonia palustris</v></cell><cell r="C358"><v>12</v></cell><cell r="D358"><v>2</v></cell><cell r="E358" t="str"><v>L.      </v></cell></row><row r="358"><cell r="M358" t="str"><v>PHy</v></cell><cell r="N358"><v>7</v></cell><cell r="O358" t="str"><v>HYD</v></cell><cell r="P358" t="str"><v>IBMR</v></cell></row><row r="359"><cell r="A359" t="str"><v>HYL.VER</v></cell><cell r="B359" t="str"><v>Hydrilla verticillata        </v></cell></row><row r="359"><cell r="E359" t="str"><v>      </v></cell></row><row r="359"><cell r="M359" t="str"><v>PHy</v></cell><cell r="N359"><v>7</v></cell><cell r="O359" t="str"><v>HYD</v></cell></row><row r="360"><cell r="A360" t="str"><v>HYD.MOR</v></cell><cell r="B360" t="str"><v>Hydrocharis morsus-ranae  </v></cell><cell r="C360"><v>11</v></cell><cell r="D360"><v>3</v></cell><cell r="E360" t="str"><v>L.      </v></cell></row><row r="360"><cell r="M360" t="str"><v>PHy</v></cell><cell r="N360"><v>7</v></cell><cell r="O360" t="str"><v>HYD</v></cell><cell r="P360" t="str"><v>IBMR</v></cell></row><row r="361"><cell r="A361" t="str"><v>HYR.RAN</v></cell><cell r="B361" t="str"><v>Hydrocotyle ranunculoides        </v></cell></row><row r="361"><cell r="E361" t="str"><v>      </v></cell></row><row r="361"><cell r="M361" t="str"><v>PHy</v></cell><cell r="N361"><v>7</v></cell><cell r="O361" t="str"><v>HYD</v></cell></row><row r="362"><cell r="A362" t="str"><v>JUN.BUL</v></cell><cell r="B362" t="str"><v>Juncus bulbosus</v></cell><cell r="C362"><v>16</v></cell><cell r="D362"><v>3</v></cell><cell r="E362" t="str"><v>L.      </v></cell></row><row r="362"><cell r="M362" t="str"><v>PHy</v></cell><cell r="N362"><v>7</v></cell><cell r="O362" t="str"><v>HYD</v></cell><cell r="P362" t="str"><v>IBMR</v></cell></row><row r="363"><cell r="A363" t="str"><v>LAG.MAJ</v></cell><cell r="B363" t="str"><v>Lagarosiphon major</v></cell></row><row r="363"><cell r="E363" t="str"><v>(Ridley) Moss     </v></cell></row><row r="363"><cell r="M363" t="str"><v>PHy</v></cell><cell r="N363"><v>7</v></cell><cell r="O363" t="str"><v>HYD</v></cell></row><row r="364"><cell r="A364" t="str"><v>LEE.AQU</v></cell><cell r="B364" t="str"><v>Leersia aquatica        </v></cell></row><row r="364"><cell r="E364" t="str"><v>      </v></cell></row><row r="364"><cell r="M364" t="str"><v>PHy</v></cell><cell r="N364"><v>7</v></cell><cell r="O364" t="str"><v>HYD</v></cell></row><row r="365"><cell r="A365" t="str"><v>LEM.AEQ</v></cell><cell r="B365" t="str"><v>Lemna aequinoctialis        </v></cell></row><row r="365"><cell r="E365" t="str"><v>      </v></cell></row><row r="365"><cell r="M365" t="str"><v>PHy</v></cell><cell r="N365"><v>7</v></cell><cell r="O365" t="str"><v>HYD</v></cell></row><row r="366"><cell r="A366" t="str"><v>LEM.GIB</v></cell><cell r="B366" t="str"><v>Lemna gibba</v></cell><cell r="C366"><v>5</v></cell><cell r="D366"><v>3</v></cell><cell r="E366" t="str"><v>L.      </v></cell></row><row r="366"><cell r="M366" t="str"><v>PHy</v></cell><cell r="N366"><v>7</v></cell><cell r="O366" t="str"><v>HYD</v></cell><cell r="P366" t="str"><v>IBMR</v></cell></row><row r="367"><cell r="A367" t="str"><v>LEM.MIN</v></cell><cell r="B367" t="str"><v>Lemna minor</v></cell><cell r="C367"><v>10</v></cell><cell r="D367"><v>1</v></cell><cell r="E367" t="str"><v>L.      </v></cell></row><row r="367"><cell r="M367" t="str"><v>PHy</v></cell><cell r="N367"><v>7</v></cell><cell r="O367" t="str"><v>HYD</v></cell><cell r="P367" t="str"><v>IBMR</v></cell></row><row r="368"><cell r="A368" t="str"><v>LEM.MIU</v></cell><cell r="B368" t="str"><v>Lemna minuscula (L. minuta)</v></cell></row><row r="368"><cell r="E368" t="str"><v>      </v></cell><cell r="F368" t="str"><v>Lemna minuta L.</v></cell></row><row r="368"><cell r="M368" t="str"><v>PHy</v></cell><cell r="N368"><v>7</v></cell><cell r="O368" t="str"><v>HYD</v></cell></row><row r="369"><cell r="A369" t="str"><v>LEM.SPX</v></cell><cell r="B369" t="str"><v>Lemna sp.</v></cell></row><row r="369"><cell r="E369" t="str"><v>      </v></cell></row><row r="369"><cell r="M369" t="str"><v>PHy</v></cell><cell r="N369"><v>7</v></cell><cell r="O369" t="str"><v>HYD</v></cell></row><row r="370"><cell r="A370" t="str"><v>LEM.TRI</v></cell><cell r="B370" t="str"><v>Lemna trisulca</v></cell><cell r="C370"><v>12</v></cell><cell r="D370"><v>2</v></cell><cell r="E370" t="str"><v>L.      </v></cell></row><row r="370"><cell r="M370" t="str"><v>PHy</v></cell><cell r="N370"><v>7</v></cell><cell r="O370" t="str"><v>HYD</v></cell><cell r="P370" t="str"><v>IBMR</v></cell></row><row r="371"><cell r="A371" t="str"><v>LEM.TUR</v></cell><cell r="B371" t="str"><v>Lemna turionifera       </v></cell></row><row r="371"><cell r="E371" t="str"><v>Landolt      </v></cell></row><row r="371"><cell r="M371" t="str"><v>PHy</v></cell><cell r="N371"><v>7</v></cell><cell r="O371" t="str"><v>HYD</v></cell></row><row r="372"><cell r="A372" t="str"><v>LIT.UNI</v></cell><cell r="B372" t="str"><v>Littorella uniflora</v></cell><cell r="C372"><v>15</v></cell><cell r="D372"><v>3</v></cell><cell r="E372" t="str"><v>(L.) Ascherson     </v></cell></row><row r="372"><cell r="M372" t="str"><v>PHy</v></cell><cell r="N372"><v>7</v></cell><cell r="O372" t="str"><v>HYD</v></cell><cell r="P372" t="str"><v>IBMR</v></cell></row><row r="373"><cell r="A373" t="str"><v>LOB.DOR</v></cell><cell r="B373" t="str"><v>Lobelia dortmanna     </v></cell></row><row r="373"><cell r="E373" t="str"><v>L.      </v></cell></row><row r="373"><cell r="M373" t="str"><v>PHy</v></cell><cell r="N373"><v>7</v></cell><cell r="O373" t="str"><v>HYD</v></cell></row><row r="374"><cell r="A374" t="str"><v>LUR.NAT</v></cell><cell r="B374" t="str"><v>Luronium natans (Alisma natans)</v></cell><cell r="C374"><v>14</v></cell><cell r="D374"><v>3</v></cell><cell r="E374" t="str"><v>(L.) Rafin.     </v></cell><cell r="F374" t="str"><v>Alisma natans</v></cell></row><row r="374"><cell r="M374" t="str"><v>PHy</v></cell><cell r="N374"><v>7</v></cell><cell r="O374" t="str"><v>HYD</v></cell><cell r="P374" t="str"><v>IBMR</v></cell></row><row r="375"><cell r="A375" t="str"><v>MAS.AEG</v></cell><cell r="B375" t="str"><v>Marsilea aegyptiaca        </v></cell></row><row r="375"><cell r="E375" t="str"><v>      </v></cell></row><row r="375"><cell r="M375" t="str"><v>PHy</v></cell><cell r="N375"><v>7</v></cell><cell r="O375" t="str"><v>HYD</v></cell></row><row r="376"><cell r="A376" t="str"><v>MAS.AZO</v></cell><cell r="B376" t="str"><v>Marsilea azorica        </v></cell></row><row r="376"><cell r="E376" t="str"><v>      </v></cell></row><row r="376"><cell r="M376" t="str"><v>PHy</v></cell><cell r="N376"><v>7</v></cell><cell r="O376" t="str"><v>HYD</v></cell></row><row r="377"><cell r="A377" t="str"><v>MAS.QUA</v></cell><cell r="B377" t="str"><v>Marsilea quadrifolia        </v></cell></row><row r="377"><cell r="E377" t="str"><v>L.      </v></cell></row><row r="377"><cell r="M377" t="str"><v>PHy</v></cell><cell r="N377"><v>7</v></cell><cell r="O377" t="str"><v>HYD</v></cell></row><row r="378"><cell r="A378" t="str"><v>MAS.STR</v></cell><cell r="B378" t="str"><v>Marsilea strigosa        </v></cell></row><row r="378"><cell r="E378" t="str"><v>      </v></cell></row><row r="378"><cell r="M378" t="str"><v>PHy</v></cell><cell r="N378"><v>7</v></cell><cell r="O378" t="str"><v>HYD</v></cell></row><row r="379"><cell r="A379" t="str"><v>MYR.ALT</v></cell><cell r="B379" t="str"><v>Myriophyllum alterniflorum</v></cell><cell r="C379"><v>13</v></cell><cell r="D379"><v>2</v></cell><cell r="E379" t="str"><v>DC.      </v></cell></row><row r="379"><cell r="M379" t="str"><v>PHy</v></cell><cell r="N379"><v>7</v></cell><cell r="O379" t="str"><v>HYD</v></cell><cell r="P379" t="str"><v>IBMR</v></cell></row><row r="380"><cell r="A380" t="str"><v>MYR.EXA</v></cell><cell r="B380" t="str"><v>Myriophyllum exalbescens        </v></cell></row><row r="380"><cell r="E380" t="str"><v>      </v></cell></row><row r="380"><cell r="M380" t="str"><v>PHy</v></cell><cell r="N380"><v>7</v></cell><cell r="O380" t="str"><v>HYD</v></cell></row><row r="381"><cell r="A381" t="str"><v>MYR.HET</v></cell><cell r="B381" t="str"><v>Myriophyllum heterophyllum        </v></cell></row><row r="381"><cell r="E381" t="str"><v>      </v></cell></row><row r="381"><cell r="M381" t="str"><v>PHy</v></cell><cell r="N381"><v>7</v></cell><cell r="O381" t="str"><v>HYD</v></cell></row><row r="382"><cell r="A382" t="str"><v>MYR.SPX</v></cell><cell r="B382" t="str"><v>Myriophyllum sp.</v></cell></row><row r="382"><cell r="E382" t="str"><v>      </v></cell></row><row r="382"><cell r="M382" t="str"><v>PHy</v></cell><cell r="N382"><v>7</v></cell><cell r="O382" t="str"><v>HYD</v></cell></row><row r="383"><cell r="A383" t="str"><v>MYR.SPI</v></cell><cell r="B383" t="str"><v>Myriophyllum spicatum</v></cell><cell r="C383"><v>8</v></cell><cell r="D383"><v>2</v></cell><cell r="E383" t="str"><v>L.      </v></cell></row><row r="383"><cell r="M383" t="str"><v>PHy</v></cell><cell r="N383"><v>7</v></cell><cell r="O383" t="str"><v>HYD</v></cell><cell r="P383" t="str"><v>IBMR</v></cell></row><row r="384"><cell r="A384" t="str"><v>MYR.VEU</v></cell><cell r="B384" t="str"><v>Myriophyllum verrucosum        </v></cell></row><row r="384"><cell r="E384" t="str"><v>      </v></cell></row><row r="384"><cell r="M384" t="str"><v>PHy</v></cell><cell r="N384"><v>7</v></cell><cell r="O384" t="str"><v>HYD</v></cell></row><row r="385"><cell r="A385" t="str"><v>MYR.VER</v></cell><cell r="B385" t="str"><v>Myriophyllum verticillatum</v></cell><cell r="C385"><v>12</v></cell><cell r="D385"><v>3</v></cell><cell r="E385" t="str"><v>L.      </v></cell></row><row r="385"><cell r="M385" t="str"><v>PHy</v></cell><cell r="N385"><v>7</v></cell><cell r="O385" t="str"><v>HYD</v></cell><cell r="P385" t="str"><v>IBMR</v></cell></row><row r="386"><cell r="A386" t="str"><v>NAJ.FLE</v></cell><cell r="B386" t="str"><v>Najas flexilis        </v></cell></row><row r="386"><cell r="E386" t="str"><v>      </v></cell></row><row r="386"><cell r="M386" t="str"><v>PHy</v></cell><cell r="N386"><v>7</v></cell><cell r="O386" t="str"><v>HYD</v></cell></row><row r="387"><cell r="A387" t="str"><v>NAJ.GRA</v></cell><cell r="B387" t="str"><v>Najas gracillima        </v></cell></row><row r="387"><cell r="E387" t="str"><v>      </v></cell></row><row r="387"><cell r="M387" t="str"><v>PHy</v></cell><cell r="N387"><v>7</v></cell><cell r="O387" t="str"><v>HYD</v></cell></row><row r="388"><cell r="A388" t="str"><v>NAJ.GRM</v></cell><cell r="B388" t="str"><v>Najas graminea        </v></cell></row><row r="388"><cell r="E388" t="str"><v>      </v></cell></row><row r="388"><cell r="M388" t="str"><v>PHy</v></cell><cell r="N388"><v>7</v></cell><cell r="O388" t="str"><v>HYD</v></cell></row><row r="389"><cell r="A389" t="str"><v>NAJ.MAR</v></cell><cell r="B389" t="str"><v>Najas marina (N. major)</v></cell><cell r="C389"><v>5</v></cell><cell r="D389"><v>3</v></cell><cell r="E389" t="str"><v>L.      </v></cell><cell r="F389" t="str"><v>Najas major</v></cell></row><row r="389"><cell r="M389" t="str"><v>PHy</v></cell><cell r="N389"><v>7</v></cell><cell r="O389" t="str"><v>HYD</v></cell><cell r="P389" t="str"><v>IBMR</v></cell></row><row r="390"><cell r="A390" t="str"><v>NAJ.ARM</v></cell><cell r="B390" t="str"><v>Najas marina subsp. armata      </v></cell></row><row r="390"><cell r="E390" t="str"><v>      </v></cell></row><row r="390"><cell r="M390" t="str"><v>PHy</v></cell><cell r="N390"><v>7</v></cell><cell r="O390" t="str"><v>HYD</v></cell></row><row r="391"><cell r="A391" t="str"><v>NAJ.INT</v></cell><cell r="B391" t="str"><v>Najas marina subsp. intermedia      </v></cell></row><row r="391"><cell r="E391" t="str"><v>      </v></cell></row><row r="391"><cell r="M391" t="str"><v>PHy</v></cell><cell r="N391"><v>7</v></cell><cell r="O391" t="str"><v>HYD</v></cell></row><row r="392"><cell r="A392" t="str"><v>NAJ.MAM</v></cell><cell r="B392" t="str"><v>Najas marina subsp. marina</v></cell></row><row r="392"><cell r="E392" t="str"><v>L.      </v></cell></row><row r="392"><cell r="M392" t="str"><v>PHy</v></cell><cell r="N392"><v>7</v></cell><cell r="O392" t="str"><v>HYD</v></cell></row><row r="393"><cell r="A393" t="str"><v>NAJ.MIN</v></cell><cell r="B393" t="str"><v>Najas minor</v></cell><cell r="C393"><v>6</v></cell><cell r="D393"><v>3</v></cell><cell r="E393" t="str"><v>L.      </v></cell></row><row r="393"><cell r="M393" t="str"><v>PHy</v></cell><cell r="N393"><v>7</v></cell><cell r="O393" t="str"><v>HYD</v></cell><cell r="P393" t="str"><v>IBMR</v></cell></row><row r="394"><cell r="A394" t="str"><v>NAJ.ORI</v></cell><cell r="B394" t="str"><v>Najas orientalis        </v></cell></row><row r="394"><cell r="E394" t="str"><v>      </v></cell></row><row r="394"><cell r="M394" t="str"><v>PHy</v></cell><cell r="N394"><v>7</v></cell><cell r="O394" t="str"><v>HYD</v></cell></row><row r="395"><cell r="A395" t="str"><v>NAJ.SPX</v></cell><cell r="B395" t="str"><v>Najas sp.</v></cell></row><row r="395"><cell r="E395" t="str"><v>      </v></cell></row><row r="395"><cell r="M395" t="str"><v>PHy</v></cell><cell r="N395"><v>7</v></cell><cell r="O395" t="str"><v>HYD</v></cell></row><row r="396"><cell r="A396" t="str"><v>NAJ.TEN</v></cell><cell r="B396" t="str"><v>Najas tenuissima        </v></cell></row><row r="396"><cell r="E396" t="str"><v>      </v></cell></row><row r="396"><cell r="M396" t="str"><v>PHy</v></cell><cell r="N396"><v>7</v></cell><cell r="O396" t="str"><v>HYD</v></cell></row><row r="397"><cell r="A397" t="str"><v>NEL.NUC</v></cell><cell r="B397" t="str"><v>Nelumbo nucifera        </v></cell></row><row r="397"><cell r="E397" t="str"><v>      </v></cell></row><row r="397"><cell r="M397" t="str"><v>PHy</v></cell><cell r="N397"><v>7</v></cell><cell r="O397" t="str"><v>HYD</v></cell></row><row r="398"><cell r="A398" t="str"><v>NUP.ADV</v></cell><cell r="B398" t="str"><v>Nuphar advena        </v></cell></row><row r="398"><cell r="E398" t="str"><v>      </v></cell></row><row r="398"><cell r="M398" t="str"><v>PHy</v></cell><cell r="N398"><v>7</v></cell><cell r="O398" t="str"><v>HYD</v></cell></row><row r="399"><cell r="A399" t="str"><v>NUP.LUT</v></cell><cell r="B399" t="str"><v>Nuphar lutea</v></cell><cell r="C399"><v>9</v></cell><cell r="D399"><v>1</v></cell><cell r="E399" t="str"><v>(L.) Sibth. & Sm.   </v></cell></row><row r="399"><cell r="M399" t="str"><v>PHy</v></cell><cell r="N399"><v>7</v></cell><cell r="O399" t="str"><v>HYD</v></cell><cell r="P399" t="str"><v>IBMR</v></cell></row><row r="400"><cell r="A400" t="str"><v>NUP.LUP</v></cell><cell r="B400" t="str"><v>Nuphar lutea x pumila      </v></cell></row><row r="400"><cell r="E400" t="str"><v>      </v></cell></row><row r="400"><cell r="M400" t="str"><v>PHy</v></cell><cell r="N400"><v>7</v></cell><cell r="O400" t="str"><v>HYD</v></cell></row><row r="401"><cell r="A401" t="str"><v>NUP.PUM</v></cell><cell r="B401" t="str"><v>Nuphar pumila</v></cell></row><row r="401"><cell r="E401" t="str"><v>(Timm) DC.     </v></cell></row><row r="401"><cell r="M401" t="str"><v>PHy</v></cell><cell r="N401"><v>7</v></cell><cell r="O401" t="str"><v>HYD</v></cell></row><row r="402"><cell r="A402" t="str"><v>NUP.SPX</v></cell><cell r="B402" t="str"><v>Nuphar sp.</v></cell></row><row r="402"><cell r="E402" t="str"><v>      </v></cell></row><row r="402"><cell r="M402" t="str"><v>PHy</v></cell><cell r="N402"><v>7</v></cell><cell r="O402" t="str"><v>HYD</v></cell></row><row r="403"><cell r="A403" t="str"><v>NUP.SPE</v></cell><cell r="B403" t="str"><v>Nuphar x spenneriana       </v></cell></row><row r="403"><cell r="E403" t="str"><v>      </v></cell></row><row r="403"><cell r="M403" t="str"><v>PHy</v></cell><cell r="N403"><v>7</v></cell><cell r="O403" t="str"><v>HYD</v></cell></row><row r="404"><cell r="A404" t="str"><v>NYM.ALB</v></cell><cell r="B404" t="str"><v>Nymphaea alba</v></cell><cell r="C404"><v>12</v></cell><cell r="D404"><v>3</v></cell><cell r="E404" t="str"><v>L.      </v></cell></row><row r="404"><cell r="M404" t="str"><v>PHy</v></cell><cell r="N404"><v>7</v></cell><cell r="O404" t="str"><v>HYD</v></cell><cell r="P404" t="str"><v>IBMR</v></cell></row><row r="405"><cell r="A405" t="str"><v>NYM.ALC</v></cell><cell r="B405" t="str"><v>Nymphaea alba x candida      </v></cell></row><row r="405"><cell r="E405" t="str"><v>      </v></cell></row><row r="405"><cell r="M405" t="str"><v>PHy</v></cell><cell r="N405"><v>7</v></cell><cell r="O405" t="str"><v>HYD</v></cell></row><row r="406"><cell r="A406" t="str"><v>NYM.CAN</v></cell><cell r="B406" t="str"><v>Nymphaea candida        </v></cell></row><row r="406"><cell r="E406" t="str"><v>      </v></cell></row><row r="406"><cell r="M406" t="str"><v>PHy</v></cell><cell r="N406"><v>7</v></cell><cell r="O406" t="str"><v>HYD</v></cell></row><row r="407"><cell r="A407" t="str"><v>NYM.LOT</v></cell><cell r="B407" t="str"><v>Nymphaea lotus        </v></cell></row><row r="407"><cell r="E407" t="str"><v>      </v></cell></row><row r="407"><cell r="M407" t="str"><v>PHy</v></cell><cell r="N407"><v>7</v></cell><cell r="O407" t="str"><v>HYD</v></cell></row><row r="408"><cell r="A408" t="str"><v>NYM.RUB</v></cell><cell r="B408" t="str"><v>Nymphaea rubra        </v></cell></row><row r="408"><cell r="E408" t="str"><v>      </v></cell></row><row r="408"><cell r="M408" t="str"><v>PHy</v></cell><cell r="N408"><v>7</v></cell><cell r="O408" t="str"><v>HYD</v></cell></row><row r="409"><cell r="A409" t="str"><v>NYM.SPX</v></cell><cell r="B409" t="str"><v>Nymphaea sp.</v></cell></row><row r="409"><cell r="E409" t="str"><v>      </v></cell></row><row r="409"><cell r="M409" t="str"><v>PHy</v></cell><cell r="N409"><v>7</v></cell><cell r="O409" t="str"><v>HYD</v></cell></row><row r="410"><cell r="A410" t="str"><v>NYM.TET</v></cell><cell r="B410" t="str"><v>Nymphaea tetragona        </v></cell></row><row r="410"><cell r="E410" t="str"><v>      </v></cell></row><row r="410"><cell r="M410" t="str"><v>PHy</v></cell><cell r="N410"><v>7</v></cell><cell r="O410" t="str"><v>HYD</v></cell></row><row r="411"><cell r="A411" t="str"><v>NYP.PEL</v></cell><cell r="B411" t="str"><v>Nymphoides peltata</v></cell><cell r="C411"><v>10</v></cell><cell r="D411"><v>2</v></cell><cell r="E411" t="str"><v>(S. G. Gmelin) O. Kuntze  </v></cell></row><row r="411"><cell r="M411" t="str"><v>PHy</v></cell><cell r="N411"><v>7</v></cell><cell r="O411" t="str"><v>HYD</v></cell><cell r="P411" t="str"><v>IBMR</v></cell></row><row r="412"><cell r="A412" t="str"><v>PIS.STR</v></cell><cell r="B412" t="str"><v>Pistia stratiotes   </v></cell></row><row r="412"><cell r="E412" t="str"><v>L.      </v></cell></row><row r="412"><cell r="M412" t="str"><v>PHy</v></cell><cell r="N412"><v>7</v></cell><cell r="O412" t="str"><v>HYD</v></cell></row><row r="413"><cell r="A413" t="str"><v>PON.COR</v></cell><cell r="B413" t="str"><v>Pontederia cordata        </v></cell></row><row r="413"><cell r="E413" t="str"><v>      </v></cell></row><row r="413"><cell r="M413" t="str"><v>PHy</v></cell><cell r="N413"><v>7</v></cell><cell r="O413" t="str"><v>HYD</v></cell></row><row r="414"><cell r="A414" t="str"><v>POT.ACU</v></cell><cell r="B414" t="str"><v>Potamogeton acutifolius       </v></cell><cell r="C414"><v>12</v></cell><cell r="D414"><v>3</v></cell><cell r="E414" t="str"><v>Link      </v></cell></row><row r="414"><cell r="M414" t="str"><v>PHy</v></cell><cell r="N414"><v>7</v></cell><cell r="O414" t="str"><v>HYD</v></cell><cell r="P414" t="str"><v>IBMR</v></cell></row><row r="415"><cell r="A415" t="str"><v>POT.ALP</v></cell><cell r="B415" t="str"><v>Potamogeton alpinus      </v></cell><cell r="C415"><v>13</v></cell><cell r="D415"><v>2</v></cell><cell r="E415" t="str"><v>Balbis      </v></cell></row><row r="415"><cell r="M415" t="str"><v>PHy</v></cell><cell r="N415"><v>7</v></cell><cell r="O415" t="str"><v>HYD</v></cell><cell r="P415" t="str"><v>IBMR</v></cell></row><row r="416"><cell r="A416" t="str"><v>POT.BER</v></cell><cell r="B416" t="str"><v>Potamogeton berchtoldii</v></cell><cell r="C416"><v>9</v></cell><cell r="D416"><v>2</v></cell><cell r="E416" t="str"><v>Fieber      </v></cell></row><row r="416"><cell r="M416" t="str"><v>PHy</v></cell><cell r="N416"><v>7</v></cell><cell r="O416" t="str"><v>HYD</v></cell><cell r="P416" t="str"><v>IBMR</v></cell></row><row r="417"><cell r="A417" t="str"><v>POT.COL</v></cell><cell r="B417" t="str"><v>Potamogeton coloratus</v></cell><cell r="C417"><v>20</v></cell><cell r="D417"><v>3</v></cell><cell r="E417" t="str"><v>Hornem.      </v></cell></row><row r="417"><cell r="M417" t="str"><v>PHy</v></cell><cell r="N417"><v>7</v></cell><cell r="O417" t="str"><v>HYD</v></cell><cell r="P417" t="str"><v>IBMR</v></cell></row><row r="418"><cell r="A418" t="str"><v>POT.COM</v></cell><cell r="B418" t="str"><v>Potamogeton compressus</v></cell><cell r="C418"><v>6</v></cell><cell r="D418"><v>3</v></cell><cell r="E418" t="str"><v>L.      </v></cell></row><row r="418"><cell r="M418" t="str"><v>PHy</v></cell><cell r="N418"><v>7</v></cell><cell r="O418" t="str"><v>HYD</v></cell><cell r="P418" t="str"><v>IBMR</v></cell></row><row r="419"><cell r="A419" t="str"><v>POT.CRI</v></cell><cell r="B419" t="str"><v>Potamogeton crispus</v></cell><cell r="C419"><v>7</v></cell><cell r="D419"><v>2</v></cell><cell r="E419" t="str"><v>L.      </v></cell></row><row r="419"><cell r="M419" t="str"><v>PHy</v></cell><cell r="N419"><v>7</v></cell><cell r="O419" t="str"><v>HYD</v></cell><cell r="P419" t="str"><v>IBMR</v></cell></row><row r="420"><cell r="A420" t="str"><v>POT.EPI</v></cell><cell r="B420" t="str"><v>Potamogeton epihydrus        </v></cell></row><row r="420"><cell r="E420" t="str"><v>      </v></cell></row><row r="420"><cell r="M420" t="str"><v>PHy</v></cell><cell r="N420"><v>7</v></cell><cell r="O420" t="str"><v>HYD</v></cell></row><row r="421"><cell r="A421" t="str"><v>POT.FIL</v></cell><cell r="B421" t="str"><v>Potamogeton filiformis</v></cell></row><row r="421"><cell r="E421" t="str"><v>Pers.      </v></cell></row><row r="421"><cell r="M421" t="str"><v>PHy</v></cell><cell r="N421"><v>7</v></cell><cell r="O421" t="str"><v>HYD</v></cell></row><row r="422"><cell r="A422" t="str"><v>POT.FRI</v></cell><cell r="B422" t="str"><v>Potamogeton friesii (P. mucronatus)</v></cell><cell r="C422"><v>10</v></cell><cell r="D422"><v>1</v></cell><cell r="E422" t="str"><v>Rupr.      </v></cell><cell r="F422" t="str"><v>Potamogeton mucronatus</v></cell></row><row r="422"><cell r="M422" t="str"><v>PHy</v></cell><cell r="N422"><v>7</v></cell><cell r="O422" t="str"><v>HYD</v></cell><cell r="P422" t="str"><v>IBMR</v></cell></row><row r="423"><cell r="A423" t="str"><v>POT.GRA</v></cell><cell r="B423" t="str"><v>Potamogeton gramineus</v></cell><cell r="C423"><v>13</v></cell><cell r="D423"><v>2</v></cell><cell r="E423" t="str"><v>L.      </v></cell></row><row r="423"><cell r="M423" t="str"><v>PHy</v></cell><cell r="N423"><v>7</v></cell><cell r="O423" t="str"><v>HYD</v></cell><cell r="P423" t="str"><v>IBMR</v></cell></row><row r="424"><cell r="A424" t="str"><v>POT.HEL</v></cell><cell r="B424" t="str"><v>Potamogeton helveticus</v></cell></row><row r="424"><cell r="E424" t="str"><v>(G. Fischer) E. Baumann   </v></cell></row><row r="424"><cell r="M424" t="str"><v>PHy</v></cell><cell r="N424"><v>7</v></cell><cell r="O424" t="str"><v>HYD</v></cell></row><row r="425"><cell r="A425" t="str"><v>POT.LUC</v></cell><cell r="B425" t="str"><v>Potamogeton lucens</v></cell><cell r="C425"><v>7</v></cell><cell r="D425"><v>3</v></cell><cell r="E425" t="str"><v>L.      </v></cell></row><row r="425"><cell r="M425" t="str"><v>PHy</v></cell><cell r="N425"><v>7</v></cell><cell r="O425" t="str"><v>HYD</v></cell><cell r="P425" t="str"><v>IBMR</v></cell></row><row r="426"><cell r="A426" t="str"><v>POT.NAT</v></cell><cell r="B426" t="str"><v>Potamogeton natans</v></cell><cell r="C426"><v>12</v></cell><cell r="D426"><v>1</v></cell><cell r="E426" t="str"><v>L.      </v></cell></row><row r="426"><cell r="M426" t="str"><v>PHy</v></cell><cell r="N426"><v>7</v></cell><cell r="O426" t="str"><v>HYD</v></cell><cell r="P426" t="str"><v>IBMR</v></cell></row><row r="427"><cell r="A427" t="str"><v>POT.PRO</v></cell><cell r="B427" t="str"><v>Potamogeton natans var. prolixus</v></cell></row><row r="427"><cell r="E427" t="str"><v>Koch      </v></cell></row><row r="427"><cell r="M427" t="str"><v>PHy</v></cell><cell r="N427"><v>7</v></cell><cell r="O427" t="str"><v>HYD</v></cell></row><row r="428"><cell r="A428" t="str"><v>POT.NOD</v></cell><cell r="B428" t="str"><v>Potamogeton nodosus (P. fluitans)</v></cell><cell r="C428"><v>4</v></cell><cell r="D428"><v>3</v></cell><cell r="E428" t="str"><v>Poiret      </v></cell><cell r="F428" t="str"><v>Potamogeton fluitans</v></cell></row><row r="428"><cell r="M428" t="str"><v>PHy</v></cell><cell r="N428"><v>7</v></cell><cell r="O428" t="str"><v>HYD</v></cell><cell r="P428" t="str"><v>IBMR</v></cell></row><row r="429"><cell r="A429" t="str"><v>POT.OBT</v></cell><cell r="B429" t="str"><v>Potamogeton obtusifolius</v></cell><cell r="C429"><v>10</v></cell><cell r="D429"><v>2</v></cell><cell r="E429" t="str"><v>Mert. & Koch    </v></cell></row><row r="429"><cell r="M429" t="str"><v>PHy</v></cell><cell r="N429"><v>7</v></cell><cell r="O429" t="str"><v>HYD</v></cell><cell r="P429" t="str"><v>IBMR</v></cell></row><row r="430"><cell r="A430" t="str"><v>POT.PAN</v></cell><cell r="B430" t="str"><v>Potamogeton panormitanus (P. pusillus)      </v></cell><cell r="C430"><v>9</v></cell><cell r="D430"><v>2</v></cell><cell r="E430" t="str"><v>      </v></cell><cell r="F430" t="str"><v>potamogeton pusillus L.</v></cell></row><row r="430"><cell r="M430" t="str"><v>PHy</v></cell><cell r="N430"><v>7</v></cell><cell r="O430" t="str"><v>HYD</v></cell><cell r="P430" t="str"><v>IBMR</v></cell></row><row r="431"><cell r="A431" t="str"><v>POT.PEC</v></cell><cell r="B431" t="str"><v>Potamogeton pectinatus    </v></cell><cell r="C431"><v>2</v></cell><cell r="D431"><v>2</v></cell><cell r="E431" t="str"><v>L.      </v></cell></row><row r="431"><cell r="M431" t="str"><v>PHy</v></cell><cell r="N431"><v>7</v></cell><cell r="O431" t="str"><v>HYD</v></cell><cell r="P431" t="str"><v>IBMR</v></cell></row><row r="432"><cell r="A432" t="str"><v>POT.PER</v></cell><cell r="B432" t="str"><v>Potamogeton perfoliatus</v></cell><cell r="C432"><v>9</v></cell><cell r="D432"><v>2</v></cell><cell r="E432" t="str"><v>L.      </v></cell></row><row r="432"><cell r="M432" t="str"><v>PHy</v></cell><cell r="N432"><v>7</v></cell><cell r="O432" t="str"><v>HYD</v></cell><cell r="P432" t="str"><v>IBMR</v></cell></row><row r="433"><cell r="A433" t="str"><v>POT.POL</v></cell><cell r="B433" t="str"><v>Potamogeton polygonifolius       </v></cell><cell r="C433"><v>17</v></cell><cell r="D433"><v>3</v></cell><cell r="E433" t="str"><v>Pourret      </v></cell></row><row r="433"><cell r="M433" t="str"><v>PHy</v></cell><cell r="N433"><v>7</v></cell><cell r="O433" t="str"><v>HYD</v></cell><cell r="P433" t="str"><v>IBMR</v></cell></row><row r="434"><cell r="A434" t="str"><v>POT.PRA</v></cell><cell r="B434" t="str"><v>Potamogeton praelongus       </v></cell><cell r="C434"><v>13</v></cell><cell r="D434"><v>2</v></cell><cell r="E434" t="str"><v>Wulfen      </v></cell></row><row r="434"><cell r="M434" t="str"><v>PHy</v></cell><cell r="N434"><v>7</v></cell><cell r="O434" t="str"><v>HYD</v></cell><cell r="P434" t="str"><v>IBMR</v></cell></row><row r="435"><cell r="A435" t="str"><v>POT.RUT</v></cell><cell r="B435" t="str"><v>Potamogeton rutilus</v></cell></row><row r="435"><cell r="E435" t="str"><v>Wolfg.      </v></cell></row><row r="435"><cell r="M435" t="str"><v>PHy</v></cell><cell r="N435"><v>7</v></cell><cell r="O435" t="str"><v>HYD</v></cell></row><row r="436"><cell r="A436" t="str"><v>POT.SCH</v></cell><cell r="B436" t="str"><v>Potamogeton schweinfurthii        </v></cell></row><row r="436"><cell r="E436" t="str"><v>      </v></cell></row><row r="436"><cell r="M436" t="str"><v>PHy</v></cell><cell r="N436"><v>7</v></cell><cell r="O436" t="str"><v>HYD</v></cell></row><row r="437"><cell r="A437" t="str"><v>POT.SIC</v></cell><cell r="B437" t="str"><v>Potamogeton siculus        </v></cell></row><row r="437"><cell r="E437" t="str"><v>      </v></cell></row><row r="437"><cell r="M437" t="str"><v>PHy</v></cell><cell r="N437"><v>7</v></cell><cell r="O437" t="str"><v>HYD</v></cell></row><row r="438"><cell r="A438" t="str"><v>POT.SPX</v></cell><cell r="B438" t="str"><v>Potamogeton sp.</v></cell></row><row r="438"><cell r="E438" t="str"><v>      </v></cell></row><row r="438"><cell r="M438" t="str"><v>PHy</v></cell><cell r="N438"><v>7</v></cell><cell r="O438" t="str"><v>HYD</v></cell></row><row r="439"><cell r="A439" t="str"><v>POT.TRI</v></cell><cell r="B439" t="str"><v>Potamogeton trichoides</v></cell><cell r="C439"><v>7</v></cell><cell r="D439"><v>2</v></cell><cell r="E439" t="str"><v>Cham. & Schelcht    </v></cell></row><row r="439"><cell r="M439" t="str"><v>PHy</v></cell><cell r="N439"><v>7</v></cell><cell r="O439" t="str"><v>HYD</v></cell><cell r="P439" t="str"><v>IBMR</v></cell></row><row r="440"><cell r="A440" t="str"><v>POT.VAG</v></cell><cell r="B440" t="str"><v>Potamogeton vaginatus        </v></cell></row><row r="440"><cell r="E440" t="str"><v>      </v></cell></row><row r="440"><cell r="M440" t="str"><v>PHy</v></cell><cell r="N440"><v>7</v></cell><cell r="O440" t="str"><v>HYD</v></cell></row><row r="441"><cell r="A441" t="str"><v>POT.ANG</v></cell><cell r="B441" t="str"><v>Potamogeton x angustifolius</v></cell></row><row r="441"><cell r="E441" t="str"><v>J. S. Presl    </v></cell></row><row r="441"><cell r="M441" t="str"><v>PHy</v></cell><cell r="N441"><v>7</v></cell><cell r="O441" t="str"><v>HYD</v></cell></row><row r="442"><cell r="A442" t="str"><v>POT.BEN</v></cell><cell r="B442" t="str"><v>Potamogeton x bennettii       </v></cell></row><row r="442"><cell r="E442" t="str"><v>      </v></cell></row><row r="442"><cell r="M442" t="str"><v>PHy</v></cell><cell r="N442"><v>7</v></cell><cell r="O442" t="str"><v>HYD</v></cell></row><row r="443"><cell r="A443" t="str"><v>POT.BOT</v></cell><cell r="B443" t="str"><v>Potamogeton x bottnicus       </v></cell></row><row r="443"><cell r="E443" t="str"><v>      </v></cell></row><row r="443"><cell r="M443" t="str"><v>PHy</v></cell><cell r="N443"><v>7</v></cell><cell r="O443" t="str"><v>HYD</v></cell></row><row r="444"><cell r="A444" t="str"><v>POT.COG</v></cell><cell r="B444" t="str"><v>Potamogeton x cognatus       </v></cell></row><row r="444"><cell r="E444" t="str"><v>      </v></cell></row><row r="444"><cell r="M444" t="str"><v>PHy</v></cell><cell r="N444"><v>7</v></cell><cell r="O444" t="str"><v>HYD</v></cell></row><row r="445"><cell r="A445" t="str"><v>POT.COO</v></cell><cell r="B445" t="str"><v>Potamogeton x cooperi       </v></cell></row><row r="445"><cell r="E445" t="str"><v>      </v></cell></row><row r="445"><cell r="M445" t="str"><v>PHy</v></cell><cell r="N445"><v>7</v></cell><cell r="O445" t="str"><v>HYD</v></cell></row><row r="446"><cell r="A446" t="str"><v>POT.FEN</v></cell><cell r="B446" t="str"><v>Potamogeton x fennicus       </v></cell></row><row r="446"><cell r="E446" t="str"><v>      </v></cell></row><row r="446"><cell r="M446" t="str"><v>PHy</v></cell><cell r="N446"><v>7</v></cell><cell r="O446" t="str"><v>HYD</v></cell></row><row r="447"><cell r="A447" t="str"><v>POT.FLU</v></cell><cell r="B447" t="str"><v>Potamogeton x fluitans       </v></cell></row><row r="447"><cell r="E447" t="str"><v>      </v></cell></row><row r="447"><cell r="M447" t="str"><v>PHy</v></cell><cell r="N447"><v>7</v></cell><cell r="O447" t="str"><v>HYD</v></cell></row><row r="448"><cell r="A448" t="str"><v>POT.GES</v></cell><cell r="B448" t="str"><v>Potamogeton x gessnacensis       </v></cell></row><row r="448"><cell r="E448" t="str"><v>      </v></cell></row><row r="448"><cell r="M448" t="str"><v>PHy</v></cell><cell r="N448"><v>7</v></cell><cell r="O448" t="str"><v>HYD</v></cell></row><row r="449"><cell r="A449" t="str"><v>POT.GRI</v></cell><cell r="B449" t="str"><v>Potamogeton x griffithii       </v></cell></row><row r="449"><cell r="E449" t="str"><v>      </v></cell></row><row r="449"><cell r="M449" t="str"><v>PHy</v></cell><cell r="N449"><v>7</v></cell><cell r="O449" t="str"><v>HYD</v></cell></row><row r="450"><cell r="A450" t="str"><v>POT.LIN</v></cell><cell r="B450" t="str"><v>Potamogeton x lintonii       </v></cell></row><row r="450"><cell r="E450" t="str"><v>      </v></cell></row><row r="450"><cell r="M450" t="str"><v>PHy</v></cell><cell r="N450"><v>7</v></cell><cell r="O450" t="str"><v>HYD</v></cell></row><row r="451"><cell r="A451" t="str"><v>POT.NER</v></cell><cell r="B451" t="str"><v>Potamogeton x nerviger       </v></cell></row><row r="451"><cell r="E451" t="str"><v>      </v></cell></row><row r="451"><cell r="M451" t="str"><v>PHy</v></cell><cell r="N451"><v>7</v></cell><cell r="O451" t="str"><v>HYD</v></cell></row><row r="452"><cell r="A452" t="str"><v>POT.NIT</v></cell><cell r="B452" t="str"><v>Potamogeton x nitens</v></cell></row><row r="452"><cell r="E452" t="str"><v>Weber      </v></cell></row><row r="452"><cell r="M452" t="str"><v>PHy</v></cell><cell r="N452"><v>7</v></cell><cell r="O452" t="str"><v>HYD</v></cell></row><row r="453"><cell r="A453" t="str"><v>POT.OLI</v></cell><cell r="B453" t="str"><v>Potamogeton x olivaceus       </v></cell></row><row r="453"><cell r="E453" t="str"><v>      </v></cell></row><row r="453"><cell r="M453" t="str"><v>PHy</v></cell><cell r="N453"><v>7</v></cell><cell r="O453" t="str"><v>HYD</v></cell></row><row r="454"><cell r="A454" t="str"><v>POT.SAL</v></cell><cell r="B454" t="str"><v>Potamogeton x saliciifolius      </v></cell></row><row r="454"><cell r="E454" t="str"><v>Wolfgang      </v></cell></row><row r="454"><cell r="M454" t="str"><v>PHy</v></cell><cell r="N454"><v>7</v></cell><cell r="O454" t="str"><v>HYD</v></cell></row><row r="455"><cell r="A455" t="str"><v>POT.SCR</v></cell><cell r="B455" t="str"><v>Potamogeton x schreberi       </v></cell></row><row r="455"><cell r="E455" t="str"><v>      </v></cell></row><row r="455"><cell r="M455" t="str"><v>PHy</v></cell><cell r="N455"><v>7</v></cell><cell r="O455" t="str"><v>HYD</v></cell></row><row r="456"><cell r="A456" t="str"><v>POT.SPA</v></cell><cell r="B456" t="str"><v>Potamogeton x sparganiifolius</v></cell></row><row r="456"><cell r="E456" t="str"><v>Laestad ex Fries    </v></cell></row><row r="456"><cell r="M456" t="str"><v>PHy</v></cell><cell r="N456"><v>7</v></cell><cell r="O456" t="str"><v>HYD</v></cell></row><row r="457"><cell r="A457" t="str"><v>POT.SUD</v></cell><cell r="B457" t="str"><v>Potamogeton x sudermanicus       </v></cell></row><row r="457"><cell r="E457" t="str"><v>      </v></cell></row><row r="457"><cell r="M457" t="str"><v>PHy</v></cell><cell r="N457"><v>7</v></cell><cell r="O457" t="str"><v>HYD</v></cell></row><row r="458"><cell r="A458" t="str"><v>POT.SUE</v></cell><cell r="B458" t="str"><v>Potamogeton x suecicus       </v></cell></row><row r="458"><cell r="E458" t="str"><v>      </v></cell></row><row r="458"><cell r="M458" t="str"><v>PHy</v></cell><cell r="N458"><v>7</v></cell><cell r="O458" t="str"><v>HYD</v></cell></row><row r="459"><cell r="A459" t="str"><v>POT.UND</v></cell><cell r="B459" t="str"><v>Potamogeton x undulatus       </v></cell></row><row r="459"><cell r="E459" t="str"><v>      </v></cell></row><row r="459"><cell r="M459" t="str"><v>PHy</v></cell><cell r="N459"><v>7</v></cell><cell r="O459" t="str"><v>HYD</v></cell></row><row r="460"><cell r="A460" t="str"><v>POT.ZIZ</v></cell><cell r="B460" t="str"><v>Potamogeton zizii</v></cell></row><row r="460"><cell r="E460" t="str"><v>Koch ex Roth    </v></cell></row><row r="460"><cell r="M460" t="str"><v>PHy</v></cell><cell r="N460"><v>7</v></cell><cell r="O460" t="str"><v>HYD</v></cell></row><row r="461"><cell r="A461" t="str"><v>RAN.AQU</v></cell><cell r="B461" t="str"><v>Ranunculus aquatilis</v></cell><cell r="C461"><v>11</v></cell><cell r="D461"><v>2</v></cell><cell r="E461" t="str"><v>L.      </v></cell></row><row r="461"><cell r="M461" t="str"><v>PHy</v></cell><cell r="N461"><v>7</v></cell><cell r="O461" t="str"><v>HYD</v></cell><cell r="P461" t="str"><v>IBMR</v></cell></row><row r="462"><cell r="A462" t="str"><v>RAN.BAT</v></cell><cell r="B462" t="str"><v>Ranunculus batrachoides        </v></cell></row><row r="462"><cell r="E462" t="str"><v>      </v></cell></row><row r="462"><cell r="M462" t="str"><v>PHy</v></cell><cell r="N462"><v>7</v></cell><cell r="O462" t="str"><v>HYD</v></cell></row><row r="463"><cell r="A463" t="str"><v>RAN.BAU</v></cell><cell r="B463" t="str"><v>Ranunculus baudoti</v></cell></row><row r="463"><cell r="E463" t="str"><v>Godron      </v></cell></row><row r="463"><cell r="M463" t="str"><v>PHy</v></cell><cell r="N463"><v>7</v></cell><cell r="O463" t="str"><v>HYD</v></cell></row><row r="464"><cell r="A464" t="str"><v>RAN.CIR</v></cell><cell r="B464" t="str"><v>Ranunculus circinatus (R. divaritacus)</v></cell><cell r="C464"><v>10</v></cell><cell r="D464"><v>2</v></cell><cell r="E464" t="str"><v>Sibth.      </v></cell><cell r="F464" t="str"><v>Ranunculus divaricatus</v></cell></row><row r="464"><cell r="M464" t="str"><v>PHy</v></cell><cell r="N464"><v>7</v></cell><cell r="O464" t="str"><v>HYD</v></cell><cell r="P464" t="str"><v>IBMR</v></cell></row><row r="465"><cell r="A465" t="str"><v>RAN.FLA</v></cell><cell r="B465" t="str"><v>Ranunculus flammula</v></cell><cell r="C465"><v>16</v></cell><cell r="D465"><v>3</v></cell><cell r="E465" t="str"><v>L.      </v></cell></row><row r="465"><cell r="M465" t="str"><v>PHy</v></cell><cell r="N465"><v>7</v></cell><cell r="O465" t="str"><v>HYD</v></cell><cell r="P465" t="str"><v>IBMR</v></cell></row><row r="466"><cell r="A466" t="str"><v>RAN.FLU</v></cell><cell r="B466" t="str"><v>Ranunculus fluitans</v></cell><cell r="C466"><v>10</v></cell><cell r="D466"><v>2</v></cell><cell r="E466" t="str"><v>Lam.      </v></cell></row><row r="466"><cell r="M466" t="str"><v>PHy</v></cell><cell r="N466"><v>7</v></cell><cell r="O466" t="str"><v>HYD</v></cell><cell r="P466" t="str"><v>IBMR</v></cell></row><row r="467"><cell r="A467" t="str"><v>RAN.HED</v></cell><cell r="B467" t="str"><v>Ranunculus hederaceus</v></cell><cell r="C467"><v>12</v></cell><cell r="D467"><v>3</v></cell><cell r="E467" t="str"><v>L.      </v></cell></row><row r="467"><cell r="M467" t="str"><v>PHy</v></cell><cell r="N467"><v>7</v></cell><cell r="O467" t="str"><v>HYD</v></cell><cell r="P467" t="str"><v>IBMR</v></cell></row><row r="468"><cell r="A468" t="str"><v>RAN.OLO</v></cell><cell r="B468" t="str"><v>Ranunculus ololeucos</v></cell><cell r="C468"><v>19</v></cell><cell r="D468"><v>3</v></cell><cell r="E468" t="str"><v>Lloyd      </v></cell></row><row r="468"><cell r="M468" t="str"><v>PHy</v></cell><cell r="N468"><v>7</v></cell><cell r="O468" t="str"><v>HYD</v></cell><cell r="P468" t="str"><v>IBMR</v></cell></row><row r="469"><cell r="A469" t="str"><v>RAN.OMI</v></cell><cell r="B469" t="str"><v>Ranunculus omiophyllus</v></cell><cell r="C469"><v>19</v></cell><cell r="D469"><v>3</v></cell><cell r="E469" t="str"><v>Ten.      </v></cell></row><row r="469"><cell r="M469" t="str"><v>PHy</v></cell><cell r="N469"><v>7</v></cell><cell r="O469" t="str"><v>HYD</v></cell><cell r="P469" t="str"><v>IBMR</v></cell></row><row r="470"><cell r="A470" t="str"><v>RAN.PEL</v></cell><cell r="B470" t="str"><v>Ranunculus peltatus</v></cell><cell r="C470"><v>12</v></cell><cell r="D470"><v>2</v></cell><cell r="E470" t="str"><v>Schrank.      </v></cell></row><row r="470"><cell r="M470" t="str"><v>PHy</v></cell><cell r="N470"><v>7</v></cell><cell r="O470" t="str"><v>HYD</v></cell><cell r="P470" t="str"><v>IBMR</v></cell></row><row r="471"><cell r="A471" t="str"><v>RAN.FUC</v></cell><cell r="B471" t="str"><v>Ranunculus peltatus subsp. fucoides      </v></cell></row><row r="471"><cell r="E471" t="str"><v>      </v></cell></row><row r="471"><cell r="M471" t="str"><v>PHy</v></cell><cell r="N471"><v>7</v></cell><cell r="O471" t="str"><v>HYD</v></cell></row><row r="472"><cell r="A472" t="str"><v>RAN.PEP</v></cell><cell r="B472" t="str"><v>Ranunculus peltatus subsp. peltatus      </v></cell></row><row r="472"><cell r="E472" t="str"><v>      </v></cell></row><row r="472"><cell r="M472" t="str"><v>PHy</v></cell><cell r="N472"><v>7</v></cell><cell r="O472" t="str"><v>HYD</v></cell></row><row r="473"><cell r="A473" t="str"><v>RAN.PSE</v></cell><cell r="B473" t="str"><v>Ranunculus penicillatus subsp. pseudofluitans</v></cell></row><row r="473"><cell r="E473" t="str"><v>(Syme) S. D. Webster   </v></cell></row><row r="473"><cell r="M473" t="str"><v>PHy</v></cell><cell r="N473"><v>7</v></cell><cell r="O473" t="str"><v>HYD</v></cell></row><row r="474"><cell r="A474" t="str"><v>RAN.CAL</v></cell><cell r="B474" t="str"><v>Ranunculus penicillatus var. calcareus (R. penicillatus subsp. calcareus)</v></cell><cell r="C474"><v>13</v></cell><cell r="D474"><v>2</v></cell><cell r="E474" t="str"><v>(Dumort.) Bab.     </v></cell><cell r="F474" t="str"><v>Ranunculus penicillatus subsp. calcareus</v></cell></row><row r="474"><cell r="M474" t="str"><v>PHy</v></cell><cell r="N474"><v>7</v></cell><cell r="O474" t="str"><v>HYD</v></cell><cell r="P474" t="str"><v>IBMR</v></cell></row><row r="475"><cell r="A475" t="str"><v>RAN.PEN</v></cell><cell r="B475" t="str"><v>Ranunculus penicillatus var. penicillatus (R. penicillatus subsp. penicillatus)</v></cell><cell r="C475"><v>12</v></cell><cell r="D475"><v>1</v></cell><cell r="E475" t="str"><v>(Dumort.) Bab.     </v></cell><cell r="F475" t="str"><v>Ranunculus penicillatus subsp. penicillatus</v></cell></row><row r="475"><cell r="M475" t="str"><v>PHy</v></cell><cell r="N475"><v>7</v></cell><cell r="O475" t="str"><v>HYD</v></cell><cell r="P475" t="str"><v>IBMR</v></cell></row><row r="476"><cell r="A476" t="str"><v>RAN.RIO</v></cell><cell r="B476" t="str"><v>Ranunculus rionii        </v></cell></row><row r="476"><cell r="E476" t="str"><v>      </v></cell></row><row r="476"><cell r="M476" t="str"><v>PHy</v></cell><cell r="N476"><v>7</v></cell><cell r="O476" t="str"><v>HYD</v></cell></row><row r="477"><cell r="A477" t="str"><v>RAN.SPX</v></cell><cell r="B477" t="str"><v>Ranunculus sp.</v></cell></row><row r="477"><cell r="E477" t="str"><v>      </v></cell></row><row r="477"><cell r="M477" t="str"><v>PHy</v></cell><cell r="N477"><v>7</v></cell><cell r="O477" t="str"><v>HYD</v></cell></row><row r="478"><cell r="A478" t="str"><v>RAN.TRI</v></cell><cell r="B478" t="str"><v>Ranunculus trichophyllus</v></cell><cell r="C478"><v>11</v></cell><cell r="D478"><v>2</v></cell><cell r="E478" t="str"><v>Chaix      </v></cell></row><row r="478"><cell r="M478" t="str"><v>PHy</v></cell><cell r="N478"><v>7</v></cell><cell r="O478" t="str"><v>HYD</v></cell><cell r="P478" t="str"><v>IBMR</v></cell></row><row r="479"><cell r="A479" t="str"><v>RAN.ERA</v></cell><cell r="B479" t="str"><v>Ranunculus trichophyllus subsp. eradicatus      </v></cell></row><row r="479"><cell r="E479" t="str"><v>      </v></cell></row><row r="479"><cell r="M479" t="str"><v>PHy</v></cell><cell r="N479"><v>7</v></cell><cell r="O479" t="str"><v>HYD</v></cell></row><row r="480"><cell r="A480" t="str"><v>RAN.LUT</v></cell><cell r="B480" t="str"><v>Ranunculus trichophyllus subsp. lutulentus       </v></cell></row><row r="480"><cell r="E480" t="str"><v>      </v></cell></row><row r="480"><cell r="M480" t="str"><v>PHy</v></cell><cell r="N480"><v>7</v></cell><cell r="O480" t="str"><v>HYD</v></cell></row><row r="481"><cell r="A481" t="str"><v>RAN.TRC</v></cell><cell r="B481" t="str"><v>Ranunculus trichophyllus x circinatus      </v></cell></row><row r="481"><cell r="E481" t="str"><v>      </v></cell></row><row r="481"><cell r="M481" t="str"><v>PHy</v></cell><cell r="N481"><v>7</v></cell><cell r="O481" t="str"><v>HYD</v></cell></row><row r="482"><cell r="A482" t="str"><v>RAN.TRP</v></cell><cell r="B482" t="str"><v>Ranunculus tripartitus</v></cell></row><row r="482"><cell r="E482" t="str"><v>DC      </v></cell></row><row r="482"><cell r="M482" t="str"><v>PHy</v></cell><cell r="N482"><v>7</v></cell><cell r="O482" t="str"><v>HYD</v></cell></row><row r="483"><cell r="A483" t="str"><v>RAN.BAC</v></cell><cell r="B483" t="str"><v>Ranunculus x bachii       </v></cell></row><row r="483"><cell r="E483" t="str"><v>      </v></cell></row><row r="483"><cell r="M483" t="str"><v>PHy</v></cell><cell r="N483"><v>7</v></cell><cell r="O483" t="str"><v>HYD</v></cell></row><row r="484"><cell r="A484" t="str"><v>RAN.KEL</v></cell><cell r="B484" t="str"><v>Ranunculus x kelchoensis       </v></cell></row><row r="484"><cell r="E484" t="str"><v>      </v></cell></row><row r="484"><cell r="M484" t="str"><v>PHy</v></cell><cell r="N484"><v>7</v></cell><cell r="O484" t="str"><v>HYD</v></cell></row><row r="485"><cell r="A485" t="str"><v>RAN.LEV</v></cell><cell r="B485" t="str"><v>Ranunculus x levenensis       </v></cell></row><row r="485"><cell r="E485" t="str"><v>      </v></cell></row><row r="485"><cell r="M485" t="str"><v>PHy</v></cell><cell r="N485"><v>7</v></cell><cell r="O485" t="str"><v>HYD</v></cell></row><row r="486"><cell r="A486" t="str"><v>RAN.NOV</v></cell><cell r="B486" t="str"><v>Ranunculus x novae-forestae       </v></cell></row><row r="486"><cell r="E486" t="str"><v>      </v></cell></row><row r="486"><cell r="M486" t="str"><v>PHy</v></cell><cell r="N486"><v>7</v></cell><cell r="O486" t="str"><v>HYD</v></cell></row><row r="487"><cell r="A487" t="str"><v>RUP.CIR</v></cell><cell r="B487" t="str"><v>Ruppia cirrhosa        </v></cell></row><row r="487"><cell r="E487" t="str"><v>      </v></cell></row><row r="487"><cell r="M487" t="str"><v>PHy</v></cell><cell r="N487"><v>7</v></cell><cell r="O487" t="str"><v>HYD</v></cell></row><row r="488"><cell r="A488" t="str"><v>RUP.DRE</v></cell><cell r="B488" t="str"><v>Ruppia drepanensis        </v></cell></row><row r="488"><cell r="E488" t="str"><v>      </v></cell></row><row r="488"><cell r="M488" t="str"><v>PHy</v></cell><cell r="N488"><v>7</v></cell><cell r="O488" t="str"><v>HYD</v></cell></row><row r="489"><cell r="A489" t="str"><v>RUP.MAR</v></cell><cell r="B489" t="str"><v>Ruppia maritima        </v></cell></row><row r="489"><cell r="E489" t="str"><v>      </v></cell></row><row r="489"><cell r="M489" t="str"><v>PHy</v></cell><cell r="N489"><v>7</v></cell><cell r="O489" t="str"><v>HYD</v></cell></row><row r="490"><cell r="A490" t="str"><v>SCI.FLU</v></cell><cell r="B490" t="str"><v>Scirpus fluitans (Eleogiton fluitans)</v></cell><cell r="C490"><v>18</v></cell><cell r="D490"><v>3</v></cell><cell r="E490" t="str"><v>L.      </v></cell><cell r="F490" t="str"><v>Eleogiton fluitans</v></cell><cell r="G490" t="str"><v>Isolepis fluitans L.</v></cell></row><row r="490"><cell r="M490" t="str"><v>PHy</v></cell><cell r="N490"><v>7</v></cell><cell r="O490" t="str"><v>HYD</v></cell><cell r="P490" t="str"><v>IBMR</v></cell></row><row r="491"><cell r="A491" t="str"><v>SPA.ANG</v></cell><cell r="B491" t="str"><v>Sparganium angustifolium</v></cell><cell r="C491"><v>19</v></cell><cell r="D491"><v>3</v></cell><cell r="E491" t="str"><v>Michaux      </v></cell></row><row r="491"><cell r="M491" t="str"><v>PHy</v></cell><cell r="N491"><v>7</v></cell><cell r="O491" t="str"><v>HYD</v></cell><cell r="P491" t="str"><v>IBMR</v></cell></row><row r="492"><cell r="A492" t="str"><v>SPA.ANE</v></cell><cell r="B492" t="str"><v>Sparganium angustifolium x emersum      </v></cell></row><row r="492"><cell r="E492" t="str"><v>      </v></cell></row><row r="492"><cell r="M492" t="str"><v>PHy</v></cell><cell r="N492"><v>7</v></cell><cell r="O492" t="str"><v>HYD</v></cell></row><row r="493"><cell r="A493" t="str"><v>SPA.EMC</v></cell><cell r="B493" t="str"><v>Sparganium emersum feuilles courtes (< 20 cm)</v></cell><cell r="C493"><v>13</v></cell><cell r="D493"><v>2</v></cell><cell r="E493" t="str"><v>Rehmann      </v></cell></row><row r="493"><cell r="M493" t="str"><v>PHy</v></cell><cell r="N493"><v>7</v></cell><cell r="O493" t="str"><v>HYD</v></cell><cell r="P493" t="str"><v>IBMR</v></cell></row><row r="494"><cell r="A494" t="str"><v>SPA.EML</v></cell><cell r="B494" t="str"><v>Sparganium emersum feuilles longues (> 20 cm)</v></cell><cell r="C494"><v>7</v></cell><cell r="D494"><v>1</v></cell><cell r="E494" t="str"><v>Rehmann      </v></cell></row><row r="494"><cell r="M494" t="str"><v>PHy</v></cell><cell r="N494"><v>7</v></cell><cell r="O494" t="str"><v>HYD</v></cell><cell r="P494" t="str"><v>IBMR</v></cell></row><row r="495"><cell r="A495" t="str"><v>SPA.MIN</v></cell><cell r="B495" t="str"><v>Sparganium minimum</v></cell><cell r="C495"><v>15</v></cell><cell r="D495"><v>3</v></cell><cell r="E495" t="str"><v>Wallr      </v></cell></row><row r="495"><cell r="M495" t="str"><v>PHy</v></cell><cell r="N495"><v>7</v></cell><cell r="O495" t="str"><v>HYD</v></cell><cell r="P495" t="str"><v>IBMR</v></cell></row><row r="496"><cell r="A496" t="str"><v>SPA.SPX</v></cell><cell r="B496" t="str"><v>Sparganium sp.</v></cell></row><row r="496"><cell r="E496" t="str"><v>      </v></cell></row><row r="496"><cell r="M496" t="str"><v>PHy</v></cell><cell r="N496"><v>7</v></cell></row><row r="497"><cell r="A497" t="str"><v>SPR.POL</v></cell><cell r="B497" t="str"><v>Spirodela polyrhiza</v></cell><cell r="C497"><v>6</v></cell><cell r="D497"><v>2</v></cell><cell r="E497" t="str"><v>(L.) Schleiden     </v></cell></row><row r="497"><cell r="M497" t="str"><v>PHy</v></cell><cell r="N497"><v>7</v></cell><cell r="O497" t="str"><v>HYD</v></cell><cell r="P497" t="str"><v>IBMR</v></cell></row><row r="498"><cell r="A498" t="str"><v>STR.ALO</v></cell><cell r="B498" t="str"><v>Stratiotes aloides</v></cell></row><row r="498"><cell r="E498" t="str"><v>L.      </v></cell></row><row r="498"><cell r="M498" t="str"><v>PHy</v></cell><cell r="N498"><v>7</v></cell><cell r="O498" t="str"><v>HYD</v></cell></row><row r="499"><cell r="A499" t="str"><v>SUB.AQU</v></cell><cell r="B499" t="str"><v>Subuluria aquatica        </v></cell></row><row r="499"><cell r="E499" t="str"><v>      </v></cell></row><row r="499"><cell r="M499" t="str"><v>PHy</v></cell><cell r="N499"><v>7</v></cell><cell r="O499" t="str"><v>HYD</v></cell></row><row r="500"><cell r="A500" t="str"><v>TRA.NAT</v></cell><cell r="B500" t="str"><v>Trapa natans</v></cell><cell r="C500"><v>10</v></cell><cell r="D500"><v>3</v></cell><cell r="E500" t="str"><v>L.      </v></cell></row><row r="500"><cell r="M500" t="str"><v>PHy</v></cell><cell r="N500"><v>7</v></cell><cell r="O500" t="str"><v>HYD</v></cell><cell r="P500" t="str"><v>IBMR</v></cell></row><row r="501"><cell r="A501" t="str"><v>UTR.AUS</v></cell><cell r="B501" t="str"><v>Utricularia australis        </v></cell></row><row r="501"><cell r="E501" t="str"><v>      </v></cell></row><row r="501"><cell r="M501" t="str"><v>PHy</v></cell><cell r="N501"><v>7</v></cell><cell r="O501" t="str"><v>HYD</v></cell></row><row r="502"><cell r="A502" t="str"><v>UTR.BRE</v></cell><cell r="B502" t="str"><v>Utricularia bremii</v></cell></row><row r="502"><cell r="E502" t="str"><v>Herr ex Kölliker    </v></cell></row><row r="502"><cell r="M502" t="str"><v>PHy</v></cell><cell r="N502"><v>7</v></cell><cell r="O502" t="str"><v>HYD</v></cell></row><row r="503"><cell r="A503" t="str"><v>UTR.GIB</v></cell><cell r="B503" t="str"><v>Utricularia gibba        </v></cell></row><row r="503"><cell r="E503" t="str"><v>      </v></cell></row><row r="503"><cell r="M503" t="str"><v>PHy</v></cell><cell r="N503"><v>7</v></cell><cell r="O503" t="str"><v>HYD</v></cell></row><row r="504"><cell r="A504" t="str"><v>UTR.INT</v></cell><cell r="B504" t="str"><v>Utricularia intermedia</v></cell></row><row r="504"><cell r="E504" t="str"><v>Hayne      </v></cell></row><row r="504"><cell r="M504" t="str"><v>PHy</v></cell><cell r="N504"><v>7</v></cell><cell r="O504" t="str"><v>HYD</v></cell></row><row r="505"><cell r="A505" t="str"><v>UTR.MIN</v></cell><cell r="B505" t="str"><v>Utricularia minor</v></cell></row><row r="505"><cell r="E505" t="str"><v>L.      </v></cell></row><row r="505"><cell r="M505" t="str"><v>PHy</v></cell><cell r="N505"><v>7</v></cell><cell r="O505" t="str"><v>HYD</v></cell></row><row r="506"><cell r="A506" t="str"><v>UTR.OCH</v></cell><cell r="B506" t="str"><v>Utricularia ochroleuca</v></cell></row><row r="506"><cell r="E506" t="str"><v>R. Hartman     </v></cell></row><row r="506"><cell r="M506" t="str"><v>PHy</v></cell><cell r="N506"><v>7</v></cell><cell r="O506" t="str"><v>HYD</v></cell></row><row r="507"><cell r="A507" t="str"><v>UTR.SPX</v></cell><cell r="B507" t="str"><v>Utricularia sp.        </v></cell></row><row r="507"><cell r="E507" t="str"><v>      </v></cell></row><row r="507"><cell r="M507" t="str"><v>PHy</v></cell><cell r="N507"><v>7</v></cell><cell r="O507" t="str"><v>HYD</v></cell></row><row r="508"><cell r="A508" t="str"><v>UTR.STY</v></cell><cell r="B508" t="str"><v>Utricularia stygia        </v></cell></row><row r="508"><cell r="E508" t="str"><v>      </v></cell></row><row r="508"><cell r="M508" t="str"><v>PHy</v></cell><cell r="N508"><v>7</v></cell><cell r="O508" t="str"><v>HYD</v></cell></row><row r="509"><cell r="A509" t="str"><v>UTR.VUL</v></cell><cell r="B509" t="str"><v>Utricularia vulgaris</v></cell></row><row r="509"><cell r="E509" t="str"><v>L.      </v></cell></row><row r="509"><cell r="M509" t="str"><v>PHy</v></cell><cell r="N509"><v>7</v></cell><cell r="O509" t="str"><v>HYD</v></cell></row><row r="510"><cell r="A510" t="str"><v>VAL.SPI</v></cell><cell r="B510" t="str"><v>Vallisneria spiralis</v></cell><cell r="C510"><v>8</v></cell><cell r="D510"><v>2</v></cell><cell r="E510" t="str"><v>L.      </v></cell></row><row r="510"><cell r="M510" t="str"><v>PHy</v></cell><cell r="N510"><v>7</v></cell><cell r="O510" t="str"><v>HYD</v></cell><cell r="P510" t="str"><v>IBMR</v></cell></row><row r="511"><cell r="A511" t="str"><v>WOL.ARH</v></cell><cell r="B511" t="str"><v>Wolffia arhiza</v></cell><cell r="C511"><v>6</v></cell><cell r="D511"><v>2</v></cell><cell r="E511" t="str"><v>(L.) Horkel & Wimmer   </v></cell></row><row r="511"><cell r="M511" t="str"><v>PHy</v></cell><cell r="N511"><v>7</v></cell><cell r="O511" t="str"><v>HYD</v></cell><cell r="P511" t="str"><v>IBMR</v></cell></row><row r="512"><cell r="A512" t="str"><v>ZAN.CON</v></cell><cell r="B512" t="str"><v>Zannichellia contorta        </v></cell></row><row r="512"><cell r="E512" t="str"><v>      </v></cell></row><row r="512"><cell r="M512" t="str"><v>PHy</v></cell><cell r="N512"><v>7</v></cell><cell r="O512" t="str"><v>HYD</v></cell></row><row r="513"><cell r="A513" t="str"><v>ZAN.MAJ</v></cell><cell r="B513" t="str"><v>Zannichellia major        </v></cell></row><row r="513"><cell r="E513" t="str"><v>      </v></cell></row><row r="513"><cell r="M513" t="str"><v>PHy</v></cell><cell r="N513"><v>7</v></cell><cell r="O513" t="str"><v>HYD</v></cell></row><row r="514"><cell r="A514" t="str"><v>ZAN.OBT</v></cell><cell r="B514" t="str"><v>Zannichellia obtusifolia        </v></cell></row><row r="514"><cell r="E514" t="str"><v>      </v></cell></row><row r="514"><cell r="M514" t="str"><v>PHy</v></cell><cell r="N514"><v>7</v></cell><cell r="O514" t="str"><v>HYD</v></cell></row><row r="515"><cell r="A515" t="str"><v>ZAN.PAL</v></cell><cell r="B515" t="str"><v>Zannichellia palustris</v></cell><cell r="C515"><v>5</v></cell><cell r="D515"><v>1</v></cell><cell r="E515" t="str"><v>L.      </v></cell></row><row r="515"><cell r="M515" t="str"><v>PHy</v></cell><cell r="N515"><v>7</v></cell><cell r="O515" t="str"><v>HYD</v></cell><cell r="P515" t="str"><v>IBMR</v></cell></row><row r="516"><cell r="A516" t="str"><v>ZAN.PAE</v></cell><cell r="B516" t="str"><v>Zannichellia palustris subsp. pedicellata</v></cell></row><row r="516"><cell r="E516" t="str"><v>(Wahlenb. & Rosen)    </v></cell></row><row r="516"><cell r="M516" t="str"><v>PHy</v></cell><cell r="N516"><v>7</v></cell><cell r="O516" t="str"><v>HYD</v></cell></row><row r="517"><cell r="A517" t="str"><v>ZAN.PED</v></cell><cell r="B517" t="str"><v>Zannichellia pedunculata</v></cell></row><row r="517"><cell r="E517" t="str"><v>Reich.      </v></cell></row><row r="517"><cell r="M517" t="str"><v>PHy</v></cell><cell r="N517"><v>7</v></cell><cell r="O517" t="str"><v>HYD</v></cell></row><row r="518"><cell r="A518" t="str"><v>ZAN.PEL</v></cell><cell r="B518" t="str"><v>Zannichellia peltata        </v></cell></row><row r="518"><cell r="E518" t="str"><v>      </v></cell></row><row r="518"><cell r="M518" t="str"><v>PHy</v></cell><cell r="N518"><v>7</v></cell><cell r="O518" t="str"><v>HYD</v></cell></row><row r="519"><cell r="A519" t="str"><v>ZAN.SPX</v></cell><cell r="B519" t="str"><v>Zannichellia sp.</v></cell></row><row r="519"><cell r="E519" t="str"><v>      </v></cell></row><row r="519"><cell r="M519" t="str"><v>PHy</v></cell><cell r="N519"><v>7</v></cell><cell r="O519" t="str"><v>HYD</v></cell></row><row r="520"><cell r="A520" t="str"><v>ZIZ.AQU</v></cell><cell r="B520" t="str"><v>Zizania aquatica        </v></cell></row><row r="520"><cell r="E520" t="str"><v>      </v></cell></row><row r="520"><cell r="M520" t="str"><v>PHy</v></cell><cell r="N520"><v>7</v></cell><cell r="O520" t="str"><v>HYD</v></cell></row><row r="521"><cell r="A521" t="str"><v>ZIZ.LAT</v></cell><cell r="B521" t="str"><v>Zizania latifolia        </v></cell></row><row r="521"><cell r="E521" t="str"><v>      </v></cell></row><row r="521"><cell r="M521" t="str"><v>PHy</v></cell><cell r="N521"><v>7</v></cell><cell r="O521" t="str"><v>HYD</v></cell></row><row r="522"><cell r="B522" t="str"><v>- HELOPHYTES et HYDROPHYTES / HELOPHYTES</v></cell></row><row r="522"><cell r="M522" t="str"><v>PHe</v></cell><cell r="N522"><v>7.9</v></cell></row><row r="522"><cell r="P522" t="str"><v>IBMR</v></cell></row><row r="523"><cell r="A523" t="str"><v>ACO.CAL</v></cell><cell r="B523" t="str"><v>Acorus calamus</v></cell><cell r="C523"><v>7</v></cell><cell r="D523"><v>3</v></cell><cell r="E523" t="str"><v>L.      </v></cell><cell r="F523" t="str"><v>Acorus vulgaris Simonk.</v></cell></row><row r="523"><cell r="M523" t="str"><v>PHe</v></cell><cell r="N523"><v>8</v></cell><cell r="O523" t="str"><v>HEL</v></cell><cell r="P523" t="str"><v>IBMR</v></cell></row><row r="524"><cell r="A524" t="str"><v>ACO.GRA</v></cell><cell r="B524" t="str"><v>Acorus gramineus        </v></cell></row><row r="524"><cell r="E524" t="str"><v>      </v></cell></row><row r="524"><cell r="M524" t="str"><v>PHe</v></cell><cell r="N524"><v>8</v></cell><cell r="O524" t="str"><v>HEL</v></cell></row><row r="525"><cell r="A525" t="str"><v>ACO.SPX</v></cell><cell r="B525" t="str"><v>Acorus sp.</v></cell></row><row r="525"><cell r="M525" t="str"><v>PHe</v></cell><cell r="N525"><v>8</v></cell><cell r="O525" t="str"><v>HEL</v></cell></row><row r="526"><cell r="A526" t="str"><v>AGR.STO</v></cell><cell r="B526" t="str"><v>Agrostis stolonifera</v></cell><cell r="C526"><v>10</v></cell><cell r="D526"><v>1</v></cell><cell r="E526" t="str"><v>L. fo. Aq.    </v></cell></row><row r="526"><cell r="M526" t="str"><v>PHe</v></cell><cell r="N526"><v>8</v></cell><cell r="O526" t="str"><v>HEL</v></cell><cell r="P526" t="str"><v>IBMR</v></cell></row><row r="527"><cell r="A527" t="str"><v>ALI.GRA</v></cell><cell r="B527" t="str"><v>Alisma gramineum</v></cell></row><row r="527"><cell r="E527" t="str"><v>Lej      </v></cell></row><row r="527"><cell r="M527" t="str"><v>PHe</v></cell><cell r="N527"><v>8</v></cell><cell r="O527" t="str"><v>HEL</v></cell></row><row r="528"><cell r="A528" t="str"><v>ALI.LAN</v></cell><cell r="B528" t="str"><v>Alisma lanceolatum</v></cell><cell r="C528"><v>9</v></cell><cell r="D528"><v>2</v></cell><cell r="E528" t="str"><v>With      </v></cell><cell r="F528" t="str"><v>Alisma plantago-aquatica L. subsp. Lanceolatum (With.)</v></cell><cell r="G528" t="str"><v>Alisma stenophyllum (Ascherson & Graebner) Samuelsson</v></cell></row><row r="528"><cell r="M528" t="str"><v>PHe</v></cell><cell r="N528"><v>8</v></cell><cell r="O528" t="str"><v>HYD/HEL</v></cell><cell r="P528" t="str"><v>IBMR</v></cell></row><row r="529"><cell r="A529" t="str"><v>ALI.PLA</v></cell><cell r="B529" t="str"><v>Alisma plantago-aquatica</v></cell><cell r="C529"><v>8</v></cell><cell r="D529"><v>2</v></cell><cell r="E529" t="str"><v>L.      </v></cell><cell r="F529" t="str"><v>Alisma subcordatum Rafin.</v></cell><cell r="G529" t="str"><v>Alisma brevipes E.L.Greene</v></cell><cell r="H529" t="str"><v>Alisma cordifolium Murray</v></cell><cell r="I529" t="str"><v>Alisma plantago-aquatica subsp. michaletii Ascherson & Graebner</v></cell></row><row r="529"><cell r="M529" t="str"><v>PHe</v></cell><cell r="N529"><v>8</v></cell><cell r="O529" t="str"><v>HEL</v></cell><cell r="P529" t="str"><v>IBMR</v></cell></row><row r="530"><cell r="A530" t="str"><v>ALI.SPX</v></cell><cell r="B530" t="str"><v>Alisma sp.</v></cell></row><row r="530"><cell r="E530" t="str"><v>      </v></cell></row><row r="530"><cell r="M530" t="str"><v>PHe</v></cell><cell r="N530"><v>8</v></cell><cell r="O530" t="str"><v>HEL</v></cell></row><row r="531"><cell r="A531" t="str"><v>API.REP</v></cell><cell r="B531" t="str"><v>Apium repens</v></cell></row><row r="531"><cell r="E531" t="str"><v>(Jacq.) Lag.     </v></cell></row><row r="531"><cell r="M531" t="str"><v>PHe</v></cell><cell r="N531"><v>8</v></cell><cell r="O531" t="str"><v>HYD/HEL</v></cell></row><row r="532"><cell r="A532" t="str"><v>API.SPX</v></cell><cell r="B532" t="str"><v>Apium sp.</v></cell></row><row r="532"><cell r="E532" t="str"><v>      </v></cell></row><row r="532"><cell r="M532" t="str"><v>PHe</v></cell><cell r="N532"><v>8</v></cell><cell r="O532" t="str"><v>HYD/HEL</v></cell></row><row r="533"><cell r="A533" t="str"><v>API.MOO</v></cell><cell r="B533" t="str"><v>Apium x moorei       </v></cell></row><row r="533"><cell r="E533" t="str"><v>      </v></cell></row><row r="533"><cell r="M533" t="str"><v>PHe</v></cell><cell r="N533"><v>8</v></cell><cell r="O533" t="str"><v>HYD/HEL</v></cell></row><row r="534"><cell r="A534" t="str"><v>BAC.MON</v></cell><cell r="B534" t="str"><v>Bacopa monnieri        </v></cell></row><row r="534"><cell r="E534" t="str"><v>      </v></cell></row><row r="534"><cell r="M534" t="str"><v>PHe</v></cell><cell r="N534"><v>8</v></cell><cell r="O534" t="str"><v>HYD/HEL</v></cell></row><row r="535"><cell r="A535" t="str"><v>BAL.RAN</v></cell><cell r="B535" t="str"><v>Baldellia ranunculoides</v></cell></row><row r="535"><cell r="E535" t="str"><v>L. parl     </v></cell></row><row r="535"><cell r="M535" t="str"><v>PHe</v></cell><cell r="N535"><v>8</v></cell><cell r="O535" t="str"><v>HYD/HEL</v></cell></row><row r="536"><cell r="A536" t="str"><v>BAL.RAR</v></cell><cell r="B536" t="str"><v>Baldellia ranunculoides subsp. ranunculoides      </v></cell></row><row r="536"><cell r="E536" t="str"><v>      </v></cell></row><row r="536"><cell r="M536" t="str"><v>PHe</v></cell><cell r="N536"><v>8</v></cell><cell r="O536" t="str"><v>HYD/HEL</v></cell></row><row r="537"><cell r="A537" t="str"><v>BAL.REP</v></cell><cell r="B537" t="str"><v>Baldellia ranunculoides subsp. repens      </v></cell></row><row r="537"><cell r="E537" t="str"><v>      </v></cell></row><row r="537"><cell r="M537" t="str"><v>PHe</v></cell><cell r="N537"><v>8</v></cell><cell r="O537" t="str"><v>HYD/HEL</v></cell></row><row r="538"><cell r="A538" t="str"><v>BEG.CAP</v></cell><cell r="B538" t="str"><v>Bergia capensis        </v></cell></row><row r="538"><cell r="E538" t="str"><v>      </v></cell></row><row r="538"><cell r="M538" t="str"><v>PHe</v></cell><cell r="N538"><v>8</v></cell><cell r="O538" t="str"><v>HYD/HEL</v></cell></row><row r="539"><cell r="A539" t="str"><v>BER.ERE</v></cell><cell r="B539" t="str"><v>Berula erecta (Sium erectum)</v></cell><cell r="C539"><v>14</v></cell><cell r="D539"><v>2</v></cell><cell r="E539" t="str"><v>(Huds.) Coville     </v></cell><cell r="F539" t="str"><v>Sium erectum Huds.</v></cell><cell r="G539" t="str"><v>Siella erecta</v></cell></row><row r="539"><cell r="M539" t="str"><v>PHe</v></cell><cell r="N539"><v>8</v></cell><cell r="O539" t="str"><v>HYD/HEL</v></cell><cell r="P539" t="str"><v>IBMR</v></cell></row><row r="540"><cell r="A540" t="str"><v>BER.SPX</v></cell><cell r="B540" t="str"><v>Berula sp.</v></cell></row><row r="540"><cell r="E540" t="str"><v>      </v></cell></row><row r="540"><cell r="M540" t="str"><v>PHe</v></cell><cell r="N540"><v>8</v></cell><cell r="O540" t="str"><v>HYD/HEL</v></cell></row><row r="541"><cell r="A541" t="str"><v>BOL.MAR</v></cell><cell r="B541" t="str"><v>Bolboschoenus maritimus</v></cell></row><row r="541"><cell r="E541" t="str"><v>(L.) Palla     </v></cell></row><row r="541"><cell r="M541" t="str"><v>PHe</v></cell><cell r="N541"><v>8</v></cell><cell r="O541" t="str"><v>HEL</v></cell></row><row r="542"><cell r="A542" t="str"><v>BRC.ERU</v></cell><cell r="B542" t="str"><v>Bracharia eruciformis        </v></cell></row><row r="542"><cell r="E542" t="str"><v>      </v></cell></row><row r="542"><cell r="M542" t="str"><v>PHe</v></cell><cell r="N542"><v>8</v></cell><cell r="O542" t="str"><v>HEL</v></cell></row><row r="543"><cell r="A543" t="str"><v>BUT.UMB</v></cell><cell r="B543" t="str"><v>Butomus umbellatus</v></cell><cell r="C543"><v>9</v></cell><cell r="D543"><v>2</v></cell><cell r="E543" t="str"><v>L.      </v></cell></row><row r="543"><cell r="M543" t="str"><v>PHe</v></cell><cell r="N543"><v>8</v></cell><cell r="O543" t="str"><v>HYD/HEL</v></cell><cell r="P543" t="str"><v>IBMR</v></cell></row><row r="544"><cell r="A544" t="str"><v>CAA.PAL</v></cell><cell r="B544" t="str"><v>Calla palustris        </v></cell></row><row r="544"><cell r="E544" t="str"><v>      </v></cell></row><row r="544"><cell r="M544" t="str"><v>PHe</v></cell><cell r="N544"><v>8</v></cell><cell r="O544" t="str"><v>HEL</v></cell></row><row r="545"><cell r="A545" t="str"><v>CAH.MIN</v></cell><cell r="B545" t="str"><v>Caltha minor</v></cell></row><row r="545"><cell r="E545" t="str"><v>auct. non Mill.    </v></cell></row><row r="545"><cell r="M545" t="str"><v>PHe</v></cell><cell r="N545"><v>8</v></cell><cell r="O545" t="str"><v>HYD/HEL</v></cell></row><row r="546"><cell r="A546" t="str"><v>CAH.PAL</v></cell><cell r="B546" t="str"><v>Caltha palustris</v></cell></row><row r="546"><cell r="E546" t="str"><v>L.      </v></cell></row><row r="546"><cell r="M546" t="str"><v>PHe</v></cell><cell r="N546"><v>8</v></cell><cell r="O546" t="str"><v>HYD/HEL</v></cell></row><row r="547"><cell r="A547" t="str"><v>CAM.RES</v></cell><cell r="B547" t="str"><v>Cardamine resedifolia</v></cell></row><row r="547"><cell r="E547" t="str"><v>L.      </v></cell></row><row r="547"><cell r="M547" t="str"><v>PHe</v></cell><cell r="N547"><v>8</v></cell><cell r="O547" t="str"><v>HEL</v></cell></row><row r="548"><cell r="A548" t="str"><v>CAR.ACU</v></cell><cell r="B548" t="str"><v>Carex acuta (Carex gracilis)    </v></cell></row><row r="548"><cell r="E548" t="str"><v>L.      </v></cell><cell r="F548" t="str"><v>Carex gracilis Curtis</v></cell></row><row r="548"><cell r="M548" t="str"><v>PHe</v></cell><cell r="N548"><v>8</v></cell><cell r="O548" t="str"><v>HEL</v></cell></row><row r="549"><cell r="A549" t="str"><v>CAR.ACT</v></cell><cell r="B549" t="str"><v>Carex acutiformis</v></cell></row><row r="549"><cell r="E549" t="str"><v>Ehrh.      </v></cell></row><row r="549"><cell r="M549" t="str"><v>PHe</v></cell><cell r="N549"><v>8</v></cell><cell r="O549" t="str"><v>HEL</v></cell></row><row r="550"><cell r="A550" t="str"><v>CAR.AQU</v></cell><cell r="B550" t="str"><v>Carex aquatilis        </v></cell></row><row r="550"><cell r="E550" t="str"><v>      </v></cell></row><row r="550"><cell r="M550" t="str"><v>PHe</v></cell><cell r="N550"><v>8</v></cell><cell r="O550" t="str"><v>HEL</v></cell></row><row r="551"><cell r="A551" t="str"><v>CAR.ELA</v></cell><cell r="B551" t="str"><v>Carex elata</v></cell></row><row r="551"><cell r="E551" t="str"><v>All.      </v></cell></row><row r="551"><cell r="M551" t="str"><v>PHe</v></cell><cell r="N551"><v>8</v></cell><cell r="O551" t="str"><v>HEL</v></cell></row><row r="552"><cell r="A552" t="str"><v>CAR.PAN</v></cell><cell r="B552" t="str"><v>Carex paniculata</v></cell></row><row r="552"><cell r="E552" t="str"><v>L.      </v></cell></row><row r="552"><cell r="M552" t="str"><v>PHe</v></cell><cell r="N552"><v>8</v></cell><cell r="O552" t="str"><v>HEL</v></cell></row><row r="553"><cell r="A553" t="str"><v>CAR.PEN</v></cell><cell r="B553" t="str"><v>Carex pendula  </v></cell></row><row r="553"><cell r="E553" t="str"><v>Huds.      </v></cell></row><row r="553"><cell r="M553" t="str"><v>PHe</v></cell><cell r="N553"><v>8</v></cell><cell r="O553" t="str"><v>HEL</v></cell></row><row r="554"><cell r="A554" t="str"><v>CAR.PSE</v></cell><cell r="B554" t="str"><v>Carex pseudocyperus</v></cell></row><row r="554"><cell r="E554" t="str"><v>L.      </v></cell></row><row r="554"><cell r="M554" t="str"><v>PHe</v></cell><cell r="N554"><v>8</v></cell><cell r="O554" t="str"><v>HEL</v></cell></row><row r="555"><cell r="A555" t="str"><v>CAR.RIP</v></cell><cell r="B555" t="str"><v>Carex riparia</v></cell></row><row r="555"><cell r="E555" t="str"><v>Curtis      </v></cell></row><row r="555"><cell r="M555" t="str"><v>PHe</v></cell><cell r="N555"><v>8</v></cell><cell r="O555" t="str"><v>HEL</v></cell></row><row r="556"><cell r="A556" t="str"><v>CAR.ROS</v></cell><cell r="B556" t="str"><v>Carex rostrata</v></cell><cell r="C556"><v>15</v></cell><cell r="D556"><v>3</v></cell><cell r="E556" t="str"><v>Stokes      </v></cell></row><row r="556"><cell r="M556" t="str"><v>PHe</v></cell><cell r="N556"><v>8</v></cell><cell r="O556" t="str"><v>HYD/HEL</v></cell><cell r="P556" t="str"><v>IBMR</v></cell></row><row r="557"><cell r="A557" t="str"><v>CAR.SPX</v></cell><cell r="B557" t="str"><v>Carex sp.</v></cell></row><row r="557"><cell r="E557" t="str"><v>      </v></cell></row><row r="557"><cell r="M557" t="str"><v>PHe</v></cell><cell r="N557"><v>8</v></cell><cell r="O557" t="str"><v>HEL</v></cell></row><row r="558"><cell r="A558" t="str"><v>CAR.VES</v></cell><cell r="B558" t="str"><v>Carex vesicaria</v></cell><cell r="C558"><v>12</v></cell><cell r="D558"><v>2</v></cell><cell r="E558" t="str"><v>L.      </v></cell></row><row r="558"><cell r="M558" t="str"><v>PHe</v></cell><cell r="N558"><v>8</v></cell><cell r="O558" t="str"><v>HYD/HEL</v></cell><cell r="P558" t="str"><v>IBMR</v></cell></row><row r="559"><cell r="A559" t="str"><v>CAR.VUL</v></cell><cell r="B559" t="str"><v>Carex vulpina</v></cell></row><row r="559"><cell r="E559" t="str"><v>L.      </v></cell></row><row r="559"><cell r="M559" t="str"><v>PHe</v></cell><cell r="N559"><v>8</v></cell><cell r="O559" t="str"><v>HEL</v></cell></row><row r="560"><cell r="A560" t="str"><v>CAU.VER</v></cell><cell r="B560" t="str"><v>Carum verticillatum        </v></cell></row><row r="560"><cell r="E560" t="str"><v>      </v></cell></row><row r="560"><cell r="M560" t="str"><v>PHe</v></cell><cell r="N560"><v>8</v></cell><cell r="O560" t="str"><v>HYD/HEL</v></cell></row><row r="561"><cell r="A561" t="str"><v>CAT.AQU</v></cell><cell r="B561" t="str"><v>Catabrosa aquatica</v></cell><cell r="C561"><v>11</v></cell><cell r="D561"><v>2</v></cell><cell r="E561" t="str"><v>(L.) Beauv.     </v></cell></row><row r="561"><cell r="M561" t="str"><v>PHe</v></cell><cell r="N561"><v>8</v></cell><cell r="O561" t="str"><v>HYD/HEL</v></cell><cell r="P561" t="str"><v>IBMR</v></cell></row><row r="562"><cell r="A562" t="str"><v>CIC.VIR</v></cell><cell r="B562" t="str"><v>Cicuta virosa</v></cell></row><row r="562"><cell r="E562" t="str"><v>L.      </v></cell></row><row r="562"><cell r="M562" t="str"><v>PHe</v></cell><cell r="N562"><v>8</v></cell><cell r="O562" t="str"><v>HEL</v></cell></row><row r="563"><cell r="A563" t="str"><v>CLD.MAR</v></cell><cell r="B563" t="str"><v>Cladium mariscus        </v></cell></row><row r="563"><cell r="E563" t="str"><v>      </v></cell></row><row r="563"><cell r="M563" t="str"><v>PHe</v></cell><cell r="N563"><v>8</v></cell><cell r="O563" t="str"><v>HEL</v></cell></row><row r="564"><cell r="A564" t="str"><v>COT.COR</v></cell><cell r="B564" t="str"><v>Cotula coronopifolia        </v></cell></row><row r="564"><cell r="E564" t="str"><v>      </v></cell></row><row r="564"><cell r="M564" t="str"><v>PHe</v></cell><cell r="N564"><v>8</v></cell><cell r="O564" t="str"><v>HEL</v></cell></row><row r="565"><cell r="A565" t="str"><v>CRS.AQU</v></cell><cell r="B565" t="str"><v>Crassula aquatica        </v></cell></row><row r="565"><cell r="E565" t="str"><v>      </v></cell></row><row r="565"><cell r="M565" t="str"><v>PHe</v></cell><cell r="N565"><v>8</v></cell><cell r="O565" t="str"><v>HEL</v></cell></row><row r="566"><cell r="A566" t="str"><v>CRS.HEL</v></cell><cell r="B566" t="str"><v>Crassula helmsii</v></cell></row><row r="566"><cell r="E566" t="str"><v>(Kirk) Cockayne     </v></cell></row><row r="566"><cell r="M566" t="str"><v>PHe</v></cell><cell r="N566"><v>8</v></cell><cell r="O566" t="str"><v>HEL</v></cell></row><row r="567"><cell r="A567" t="str"><v>CYP.FUS</v></cell><cell r="B567" t="str"><v>Cyperus fuscus</v></cell></row><row r="567"><cell r="E567" t="str"><v>L.      </v></cell></row><row r="567"><cell r="M567" t="str"><v>PHe</v></cell><cell r="N567"><v>8</v></cell><cell r="O567" t="str"><v>HEL</v></cell></row><row r="568"><cell r="A568" t="str"><v>DAM.ALI</v></cell><cell r="B568" t="str"><v>Damasonium alisma</v></cell></row><row r="568"><cell r="E568" t="str"><v>Miller      </v></cell></row><row r="568"><cell r="M568" t="str"><v>PHe</v></cell><cell r="N568"><v>8</v></cell><cell r="O568" t="str"><v>HYD/HEL</v></cell></row><row r="569"><cell r="A569" t="str"><v>DRO.ROT</v></cell><cell r="B569" t="str"><v>Drosera rotundifolia        </v></cell></row><row r="569"><cell r="E569" t="str"><v>      </v></cell></row><row r="569"><cell r="M569" t="str"><v>PHe</v></cell><cell r="N569"><v>8</v></cell><cell r="O569" t="str"><v>HEL</v></cell></row><row r="570"><cell r="A570" t="str"><v>ELE.ACI</v></cell><cell r="B570" t="str"><v>Eleocharis acicularis</v></cell></row><row r="570"><cell r="E570" t="str"><v>(L) Roem & Schult   </v></cell></row><row r="570"><cell r="M570" t="str"><v>PHe</v></cell><cell r="N570"><v>8</v></cell><cell r="O570" t="str"><v>HYD/HEL</v></cell></row><row r="571"><cell r="A571" t="str"><v>ELE.AUS</v></cell><cell r="B571" t="str"><v>Eleocharis austriaca</v></cell></row><row r="571"><cell r="E571" t="str"><v>Hayek      </v></cell></row><row r="571"><cell r="M571" t="str"><v>PHe</v></cell><cell r="N571"><v>8</v></cell><cell r="O571" t="str"><v>HYD/HEL</v></cell></row><row r="572"><cell r="A572" t="str"><v>ELE.PAL</v></cell><cell r="B572" t="str"><v>Eleocharis palustris</v></cell><cell r="C572"><v>12</v></cell><cell r="D572"><v>2</v></cell><cell r="E572" t="str"><v>(L.) Roemer & Schultes   </v></cell></row><row r="572"><cell r="M572" t="str"><v>PHe</v></cell><cell r="N572"><v>8</v></cell><cell r="O572" t="str"><v>HEL</v></cell><cell r="P572" t="str"><v>IBMR</v></cell></row><row r="573"><cell r="A573" t="str"><v>ELE.PAP</v></cell><cell r="B573" t="str"><v>Eleocharis palustris subsp. palustris      </v></cell></row><row r="573"><cell r="E573" t="str"><v>      </v></cell></row><row r="573"><cell r="M573" t="str"><v>PHe</v></cell><cell r="N573"><v>8</v></cell><cell r="O573" t="str"><v>HEL</v></cell></row><row r="574"><cell r="A574" t="str"><v>ELE.VUL</v></cell><cell r="B574" t="str"><v>Eleocharis palustris subsp. vulgaris      </v></cell></row><row r="574"><cell r="E574" t="str"><v>      </v></cell></row><row r="574"><cell r="M574" t="str"><v>PHe</v></cell><cell r="N574"><v>8</v></cell><cell r="O574" t="str"><v>HEL</v></cell></row><row r="575"><cell r="A575" t="str"><v>ELE.SPX</v></cell><cell r="B575" t="str"><v>Eleocharis sp.</v></cell></row><row r="575"><cell r="E575" t="str"><v>      </v></cell></row><row r="575"><cell r="M575" t="str"><v>PHe</v></cell><cell r="N575"><v>8</v></cell><cell r="O575" t="str"><v>HEL</v></cell></row><row r="576"><cell r="A576" t="str"><v>ERY.COR</v></cell><cell r="B576" t="str"><v>Eryngium corniculatum        </v></cell></row><row r="576"><cell r="E576" t="str"><v>      </v></cell></row><row r="576"><cell r="M576" t="str"><v>PHe</v></cell><cell r="N576"><v>8</v></cell><cell r="O576" t="str"><v>HYD/HEL</v></cell></row><row r="577"><cell r="A577" t="str"><v>ERY.GAL</v></cell><cell r="B577" t="str"><v>Eryngium galioides        </v></cell></row><row r="577"><cell r="E577" t="str"><v>      </v></cell></row><row r="577"><cell r="M577" t="str"><v>PHe</v></cell><cell r="N577"><v>8</v></cell><cell r="O577" t="str"><v>HYD/HEL</v></cell></row><row r="578"><cell r="A578" t="str"><v>ERY.VIV</v></cell><cell r="B578" t="str"><v>Eryngium viviparum        </v></cell></row><row r="578"><cell r="E578" t="str"><v>      </v></cell></row><row r="578"><cell r="M578" t="str"><v>PHe</v></cell><cell r="N578"><v>8</v></cell><cell r="O578" t="str"><v>HYD/HEL</v></cell></row><row r="579"><cell r="A579" t="str"><v>EUP.CAN</v></cell><cell r="B579" t="str"><v>Eupatorium cannabinum</v></cell></row><row r="579"><cell r="E579" t="str"><v>L.      </v></cell></row><row r="579"><cell r="M579" t="str"><v>PHe</v></cell><cell r="N579"><v>8</v></cell><cell r="O579" t="str"><v>HEL</v></cell></row><row r="580"><cell r="A580" t="str"><v>FIM.ANN</v></cell><cell r="B580" t="str"><v>Fimbristylis annua        </v></cell></row><row r="580"><cell r="E580" t="str"><v>      </v></cell></row><row r="580"><cell r="M580" t="str"><v>PHe</v></cell><cell r="N580"><v>8</v></cell><cell r="O580" t="str"><v>HEL</v></cell></row><row r="581"><cell r="A581" t="str"><v>FIM.BIS</v></cell><cell r="B581" t="str"><v>Fimbristylis bisumbellata        </v></cell></row><row r="581"><cell r="E581" t="str"><v>      </v></cell></row><row r="581"><cell r="M581" t="str"><v>PHe</v></cell><cell r="N581"><v>8</v></cell><cell r="O581" t="str"><v>HEL</v></cell></row><row r="582"><cell r="A582" t="str"><v>FIM.SQU</v></cell><cell r="B582" t="str"><v>Fimbristylis squarrosa        </v></cell></row><row r="582"><cell r="E582" t="str"><v>      </v></cell></row><row r="582"><cell r="M582" t="str"><v>PHe</v></cell><cell r="N582"><v>8</v></cell><cell r="O582" t="str"><v>HEL</v></cell></row><row r="583"><cell r="A583" t="str"><v>FUI.PUB</v></cell><cell r="B583" t="str"><v>Fuirena pubescens     </v></cell></row><row r="583"><cell r="E583" t="str"><v>(Poiret) Kunth     </v></cell></row><row r="583"><cell r="M583" t="str"><v>PHe</v></cell><cell r="N583"><v>8</v></cell><cell r="O583" t="str"><v>HEL</v></cell></row><row r="584"><cell r="A584" t="str"><v>GLY.AQU</v></cell><cell r="B584" t="str"><v>Glyceria aquatica (G. maxima)</v></cell></row><row r="584"><cell r="E584" t="str"><v>(L.) Wahlb.     </v></cell><cell r="F584" t="str"><v>Glyceria maxima Hartm. Holmb.</v></cell></row><row r="584"><cell r="M584" t="str"><v>PHe</v></cell><cell r="N584"><v>8</v></cell><cell r="O584" t="str"><v>HEL</v></cell></row><row r="585"><cell r="A585" t="str"><v>GLY.DEC</v></cell><cell r="B585" t="str"><v>Glyceria declinata</v></cell></row><row r="585"><cell r="E585" t="str"><v>Bréb.      </v></cell></row><row r="585"><cell r="M585" t="str"><v>PHe</v></cell><cell r="N585"><v>8</v></cell><cell r="O585" t="str"><v>HYD/HEL</v></cell></row><row r="586"><cell r="A586" t="str"><v>GLY.FLU</v></cell><cell r="B586" t="str"><v>Glyceria fluitans</v></cell><cell r="C586"><v>14</v></cell><cell r="D586"><v>2</v></cell><cell r="E586" t="str"><v>(L.) R. Br.    </v></cell></row><row r="586"><cell r="M586" t="str"><v>PHe</v></cell><cell r="N586"><v>8</v></cell><cell r="O586" t="str"><v>HYD/HEL</v></cell><cell r="P586" t="str"><v>IBMR</v></cell></row><row r="587"><cell r="A587" t="str"><v>GLY.NOT</v></cell><cell r="B587" t="str"><v>Glyceria notata</v></cell></row><row r="587"><cell r="E587" t="str"><v>Chevall      </v></cell></row><row r="587"><cell r="M587" t="str"><v>PHe</v></cell><cell r="N587"><v>8</v></cell><cell r="O587" t="str"><v>HYD/HEL</v></cell></row><row r="588"><cell r="A588" t="str"><v>GLY.SPX</v></cell><cell r="B588" t="str"><v>Glyceria sp.</v></cell></row><row r="588"><cell r="E588" t="str"><v>      </v></cell></row><row r="588"><cell r="M588" t="str"><v>PHe</v></cell><cell r="N588"><v>8</v></cell><cell r="O588" t="str"><v>HYD/HEL</v></cell></row><row r="589"><cell r="A589" t="str"><v>GRA.LIN</v></cell><cell r="B589" t="str"><v>Gratiola linifolia        </v></cell></row><row r="589"><cell r="E589" t="str"><v>      </v></cell></row><row r="589"><cell r="M589" t="str"><v>PHe</v></cell><cell r="N589"><v>8</v></cell><cell r="O589" t="str"><v>HEL</v></cell></row><row r="590"><cell r="A590" t="str"><v>GRA.NEG</v></cell><cell r="B590" t="str"><v>Gratiola neglecta        </v></cell></row><row r="590"><cell r="E590" t="str"><v>      </v></cell></row><row r="590"><cell r="M590" t="str"><v>PHe</v></cell><cell r="N590"><v>8</v></cell><cell r="O590" t="str"><v>HEL</v></cell></row><row r="591"><cell r="A591" t="str"><v>HEL.PAL</v></cell><cell r="B591" t="str"><v>Helodes palustris (Hypericum elodes)</v></cell><cell r="C591"><v>17</v></cell><cell r="D591"><v>3</v></cell><cell r="E591" t="str"><v>Spach      </v></cell><cell r="F591" t="str"><v>Hypericum elodes L.</v></cell></row><row r="591"><cell r="M591" t="str"><v>PHe</v></cell><cell r="N591"><v>8</v></cell><cell r="O591" t="str"><v>HYD/HEL</v></cell><cell r="P591" t="str"><v>IBMR</v></cell></row><row r="592"><cell r="A592" t="str"><v>HYR.SPX</v></cell><cell r="B592" t="str"><v>Hydrocotyle sp.</v></cell></row><row r="592"><cell r="E592" t="str"><v>      </v></cell></row><row r="592"><cell r="M592" t="str"><v>PHe</v></cell><cell r="N592"><v>8</v></cell><cell r="O592" t="str"><v>HYD/HEL</v></cell></row><row r="593"><cell r="A593" t="str"><v>HYR.VUL</v></cell><cell r="B593" t="str"><v>Hydrocotyle vulgaris</v></cell><cell r="C593"><v>14</v></cell><cell r="D593"><v>2</v></cell><cell r="E593" t="str"><v>L. fo aq.    </v></cell></row><row r="593"><cell r="M593" t="str"><v>PHe</v></cell><cell r="N593"><v>8</v></cell><cell r="O593" t="str"><v>HYD/HEL</v></cell><cell r="P593" t="str"><v>IBMR</v></cell></row><row r="594"><cell r="A594" t="str"><v>IRI.PSE</v></cell><cell r="B594" t="str"><v>Iris pseudacorus</v></cell><cell r="C594"><v>10</v></cell><cell r="D594"><v>1</v></cell><cell r="E594" t="str"><v>L.      </v></cell></row><row r="594"><cell r="M594" t="str"><v>PHe</v></cell><cell r="N594"><v>8</v></cell><cell r="O594" t="str"><v>HEL</v></cell><cell r="P594" t="str"><v>IBMR</v></cell></row><row r="595"><cell r="A595" t="str"><v>IRI.SPX</v></cell><cell r="B595" t="str"><v>Iris sp.</v></cell></row><row r="595"><cell r="E595" t="str"><v>      </v></cell></row><row r="595"><cell r="M595" t="str"><v>PHe</v></cell><cell r="N595"><v>8</v></cell><cell r="O595" t="str"><v>HEL</v></cell></row><row r="596"><cell r="A596" t="str"><v>ISN.PAL</v></cell><cell r="B596" t="str"><v>Isnardia palustris (Ludwigia palustris)</v></cell></row><row r="596"><cell r="E596" t="str"><v>L.      </v></cell><cell r="F596" t="str"><v>Ludwigia palustris (L.) Elliot </v></cell></row><row r="596"><cell r="M596" t="str"><v>PHe</v></cell><cell r="N596"><v>8</v></cell><cell r="O596" t="str"><v>HYD/HEL</v></cell></row><row r="597"><cell r="A597" t="str"><v>JUN.CON</v></cell><cell r="B597" t="str"><v>Juncus conglomeratus</v></cell></row><row r="597"><cell r="E597" t="str"><v>L.      </v></cell></row><row r="597"><cell r="M597" t="str"><v>PHe</v></cell><cell r="N597"><v>8</v></cell><cell r="O597" t="str"><v>HEL</v></cell></row><row r="598"><cell r="A598" t="str"><v>JUN.EFF</v></cell><cell r="B598" t="str"><v>Juncus effusus</v></cell></row><row r="598"><cell r="E598" t="str"><v>L.      </v></cell></row><row r="598"><cell r="M598" t="str"><v>PHe</v></cell><cell r="N598"><v>8</v></cell><cell r="O598" t="str"><v>HEL</v></cell></row><row r="599"><cell r="A599" t="str"><v>JUN.FIL</v></cell><cell r="B599" t="str"><v>Juncus filiformis</v></cell></row><row r="599"><cell r="E599" t="str"><v>L.      </v></cell></row><row r="599"><cell r="M599" t="str"><v>PHe</v></cell><cell r="N599"><v>8</v></cell><cell r="O599" t="str"><v>HEL</v></cell></row><row r="600"><cell r="A600" t="str"><v>JUN.INF</v></cell><cell r="B600" t="str"><v>Juncus inflexus</v></cell></row><row r="600"><cell r="E600" t="str"><v>L.      </v></cell></row><row r="600"><cell r="M600" t="str"><v>PHe</v></cell><cell r="N600"><v>8</v></cell><cell r="O600" t="str"><v>HEL</v></cell></row><row r="601"><cell r="A601" t="str"><v>JUN.MAR</v></cell><cell r="B601" t="str"><v>Juncus maritimus</v></cell></row><row r="601"><cell r="E601" t="str"><v>Lam.      </v></cell></row><row r="601"><cell r="M601" t="str"><v>PHe</v></cell><cell r="N601"><v>8</v></cell><cell r="O601" t="str"><v>HEL</v></cell></row><row r="602"><cell r="A602" t="str"><v>JUN.SPX</v></cell><cell r="B602" t="str"><v>Juncus sp.</v></cell></row><row r="602"><cell r="E602" t="str"><v>      </v></cell></row><row r="602"><cell r="M602" t="str"><v>PHe</v></cell><cell r="N602"><v>8</v></cell><cell r="O602" t="str"><v>HEL</v></cell></row><row r="603"><cell r="A603" t="str"><v>JUN.SUB</v></cell><cell r="B603" t="str"><v>Juncus subnodulosus (J. obtusiflorus)</v></cell><cell r="C603"><v>17</v></cell><cell r="D603"><v>3</v></cell><cell r="E603" t="str"><v>Schrank      </v></cell><cell r="F603" t="str"><v>Juncus obtusiflorus</v></cell></row><row r="603"><cell r="M603" t="str"><v>PHe</v></cell><cell r="N603"><v>8</v></cell><cell r="O603" t="str"><v>HYD/HEL</v></cell><cell r="P603" t="str"><v>IBMR</v></cell></row><row r="604"><cell r="A604" t="str"><v>LIL.SCI</v></cell><cell r="B604" t="str"><v>Lilaea scilloides        </v></cell></row><row r="604"><cell r="E604" t="str"><v>      </v></cell></row><row r="604"><cell r="M604" t="str"><v>PHe</v></cell><cell r="N604"><v>8</v></cell><cell r="O604" t="str"><v>HYD/HEL</v></cell></row><row r="605"><cell r="A605" t="str"><v>LUD.GRA</v></cell><cell r="B605" t="str"><v>Ludwigia grandiflora        </v></cell></row><row r="605"><cell r="E605" t="str"><v>      </v></cell></row><row r="605"><cell r="M605" t="str"><v>PHe</v></cell><cell r="N605"><v>8</v></cell><cell r="O605" t="str"><v>HYD/HEL</v></cell></row><row r="606"><cell r="A606" t="str"><v>LUD.PEP</v></cell><cell r="B606" t="str"><v>Ludwigia peploides </v></cell></row><row r="606"><cell r="E606" t="str"><v>(Kunth)      </v></cell></row><row r="606"><cell r="M606" t="str"><v>PHe</v></cell><cell r="N606"><v>8</v></cell><cell r="O606" t="str"><v>HYD/HEL</v></cell></row><row r="607"><cell r="A607" t="str"><v>LUD.SPX</v></cell><cell r="B607" t="str"><v>Ludwigia sp.</v></cell></row><row r="607"><cell r="E607" t="str"><v>      </v></cell></row><row r="607"><cell r="M607" t="str"><v>PHe</v></cell><cell r="N607"><v>8</v></cell><cell r="O607" t="str"><v>HYD/HEL</v></cell></row><row r="608"><cell r="A608" t="str"><v>LYC.EUR</v></cell><cell r="B608" t="str"><v>Lycopus europaeus</v></cell><cell r="C608"><v>11</v></cell><cell r="D608"><v>1</v></cell><cell r="E608" t="str"><v>L.      </v></cell></row><row r="608"><cell r="M608" t="str"><v>PHe</v></cell><cell r="N608"><v>8</v></cell><cell r="O608" t="str"><v>HEL</v></cell><cell r="P608" t="str"><v>IBMR</v></cell></row><row r="609"><cell r="A609" t="str"><v>LYS.NEM</v></cell><cell r="B609" t="str"><v>Lysimachia nemorum</v></cell></row><row r="609"><cell r="E609" t="str"><v>L.      </v></cell></row><row r="609"><cell r="M609" t="str"><v>PHe</v></cell><cell r="N609"><v>8</v></cell><cell r="O609" t="str"><v>HEL</v></cell></row><row r="610"><cell r="A610" t="str"><v>LYS.NUM</v></cell><cell r="B610" t="str"><v>Lysimachia nummularia</v></cell></row><row r="610"><cell r="E610" t="str"><v>L.      </v></cell></row><row r="610"><cell r="M610" t="str"><v>PHe</v></cell><cell r="N610"><v>8</v></cell><cell r="O610" t="str"><v>HEL</v></cell></row><row r="611"><cell r="A611" t="str"><v>LYS.SPX</v></cell><cell r="B611" t="str"><v>Lysimachia sp.</v></cell></row><row r="611"><cell r="E611" t="str"><v>      </v></cell></row><row r="611"><cell r="M611" t="str"><v>PHe</v></cell><cell r="N611"><v>8</v></cell><cell r="O611" t="str"><v>HEL</v></cell></row><row r="612"><cell r="A612" t="str"><v>LYS.THY</v></cell><cell r="B612" t="str"><v>Lysimachia thyrsiflora</v></cell></row><row r="612"><cell r="E612" t="str"><v>L.      </v></cell></row><row r="612"><cell r="M612" t="str"><v>PHe</v></cell><cell r="N612"><v>8</v></cell><cell r="O612" t="str"><v>HEL</v></cell></row><row r="613"><cell r="A613" t="str"><v>LYS.VUL</v></cell><cell r="B613" t="str"><v>Lysimachia vulgaris</v></cell></row><row r="613"><cell r="E613" t="str"><v>L.      </v></cell></row><row r="613"><cell r="M613" t="str"><v>PHe</v></cell><cell r="N613"><v>8</v></cell><cell r="O613" t="str"><v>HEL</v></cell></row><row r="614"><cell r="A614" t="str"><v>LYT.POR</v></cell><cell r="B614" t="str"><v>Lythrum portula (Peplis portula)</v></cell></row><row r="614"><cell r="E614" t="str"><v>      </v></cell><cell r="F614" t="str"><v>Peplis portula L.</v></cell></row><row r="614"><cell r="M614" t="str"><v>PHe</v></cell><cell r="N614"><v>8</v></cell><cell r="O614" t="str"><v>HYD/HEL</v></cell></row><row r="615"><cell r="A615" t="str"><v>LYT.LON</v></cell><cell r="B615" t="str"><v>Lythrum portula subsp. longidentata      </v></cell></row><row r="615"><cell r="E615" t="str"><v>      </v></cell></row><row r="615"><cell r="M615" t="str"><v>PHe</v></cell><cell r="N615"><v>8</v></cell><cell r="O615" t="str"><v>HYD/HEL</v></cell></row><row r="616"><cell r="A616" t="str"><v>LYT.POP</v></cell><cell r="B616" t="str"><v>Lythrum portula subsp. portula      </v></cell></row><row r="616"><cell r="E616" t="str"><v>      </v></cell></row><row r="616"><cell r="M616" t="str"><v>PHe</v></cell><cell r="N616"><v>8</v></cell><cell r="O616" t="str"><v>HYD/HEL</v></cell></row><row r="617"><cell r="A617" t="str"><v>LYT.SAL</v></cell><cell r="B617" t="str"><v>Lythrum salicaria</v></cell></row><row r="617"><cell r="E617" t="str"><v>L.      </v></cell></row><row r="617"><cell r="M617" t="str"><v>PHe</v></cell><cell r="N617"><v>8</v></cell><cell r="O617" t="str"><v>HEL</v></cell></row><row r="618"><cell r="A618" t="str"><v>LYT.SPX</v></cell><cell r="B618" t="str"><v>Lythrum sp.</v></cell></row><row r="618"><cell r="E618" t="str"><v>      </v></cell></row><row r="618"><cell r="M618" t="str"><v>PHe</v></cell><cell r="N618"><v>8</v></cell><cell r="O618" t="str"><v>HEL</v></cell></row><row r="619"><cell r="A619" t="str"><v>MEN.AQU</v></cell><cell r="B619" t="str"><v>Mentha aquatica</v></cell><cell r="C619"><v>12</v></cell><cell r="D619"><v>1</v></cell><cell r="E619" t="str"><v>L.      </v></cell></row><row r="619"><cell r="M619" t="str"><v>PHe</v></cell><cell r="N619"><v>8</v></cell><cell r="O619" t="str"><v>HYD/HEL</v></cell><cell r="P619" t="str"><v>IBMR</v></cell></row><row r="620"><cell r="A620" t="str"><v>MEN.ARV</v></cell><cell r="B620" t="str"><v>Mentha arvensis        </v></cell></row><row r="620"><cell r="E620" t="str"><v>      </v></cell></row><row r="620"><cell r="M620" t="str"><v>PHe</v></cell><cell r="N620"><v>8</v></cell><cell r="O620" t="str"><v>HEL</v></cell></row><row r="621"><cell r="A621" t="str"><v>MEN.LON</v></cell><cell r="B621" t="str"><v>Mentha longifolia</v></cell></row><row r="621"><cell r="E621" t="str"><v>(L.) Huds. em. Harley   </v></cell></row><row r="621"><cell r="M621" t="str"><v>PHe</v></cell><cell r="N621"><v>8</v></cell><cell r="O621" t="str"><v>HEL</v></cell></row><row r="622"><cell r="A622" t="str"><v>MEN.SPX</v></cell><cell r="B622" t="str"><v>Mentha sp.</v></cell></row><row r="622"><cell r="E622" t="str"><v>      </v></cell></row><row r="622"><cell r="M622" t="str"><v>PHe</v></cell><cell r="N622"><v>8</v></cell><cell r="O622" t="str"><v>HEL</v></cell></row><row r="623"><cell r="A623" t="str"><v>MEN.ROT</v></cell><cell r="B623" t="str"><v>Mentha x rotundifolia</v></cell></row><row r="623"><cell r="E623" t="str"><v>(L.) Huds     </v></cell></row><row r="623"><cell r="M623" t="str"><v>PHe</v></cell><cell r="N623"><v>8</v></cell><cell r="O623" t="str"><v>HEL</v></cell></row><row r="624"><cell r="A624" t="str"><v>MEN.VER</v></cell><cell r="B624" t="str"><v>Mentha x verticillata       </v></cell></row><row r="624"><cell r="E624" t="str"><v>      </v></cell></row><row r="624"><cell r="M624" t="str"><v>PHe</v></cell><cell r="N624"><v>8</v></cell><cell r="O624" t="str"><v>HEL</v></cell></row><row r="625"><cell r="A625" t="str"><v>MEY.TRI</v></cell><cell r="B625" t="str"><v>Menyanthes trifoliata</v></cell><cell r="C625"><v>16</v></cell><cell r="D625"><v>3</v></cell><cell r="E625" t="str"><v>L.      </v></cell></row><row r="625"><cell r="M625" t="str"><v>PHe</v></cell><cell r="N625"><v>8</v></cell><cell r="O625" t="str"><v>HYD/HEL</v></cell><cell r="P625" t="str"><v>IBMR</v></cell></row><row r="626"><cell r="A626" t="str"><v>MON.KOR</v></cell><cell r="B626" t="str"><v>Monochoria korsakowii        </v></cell></row><row r="626"><cell r="E626" t="str"><v>      </v></cell></row><row r="626"><cell r="M626" t="str"><v>PHe</v></cell><cell r="N626"><v>8</v></cell><cell r="O626" t="str"><v>HYD/HEL</v></cell></row><row r="627"><cell r="A627" t="str"><v>MON.FON</v></cell><cell r="B627" t="str"><v>Montia fontana</v></cell><cell r="C627"><v>15</v></cell><cell r="D627"><v>2</v></cell><cell r="E627" t="str"><v>L. agg.     </v></cell></row><row r="627"><cell r="M627" t="str"><v>PHe</v></cell><cell r="N627"><v>8</v></cell><cell r="O627" t="str"><v>HYD/HEL</v></cell><cell r="P627" t="str"><v>IBMR</v></cell></row><row r="628"><cell r="A628" t="str"><v>MON.AMP</v></cell><cell r="B628" t="str"><v>Montia fontana subsp. amporitana      </v></cell></row><row r="628"><cell r="E628" t="str"><v>      </v></cell></row><row r="628"><cell r="M628" t="str"><v>PHe</v></cell><cell r="N628"><v>8</v></cell><cell r="O628" t="str"><v>HYD/HEL</v></cell></row><row r="629"><cell r="A629" t="str"><v>MON.FOF</v></cell><cell r="B629" t="str"><v>Montia fontana subsp. fontana      </v></cell></row><row r="629"><cell r="E629" t="str"><v>      </v></cell></row><row r="629"><cell r="M629" t="str"><v>PHe</v></cell><cell r="N629"><v>8</v></cell><cell r="O629" t="str"><v>HYD/HEL</v></cell></row><row r="630"><cell r="A630" t="str"><v>MON.MIN</v></cell><cell r="B630" t="str"><v>Montia fontana subsp. minor      </v></cell></row><row r="630"><cell r="E630" t="str"><v>      </v></cell></row><row r="630"><cell r="M630" t="str"><v>PHe</v></cell><cell r="N630"><v>8</v></cell><cell r="O630" t="str"><v>HYD/HEL</v></cell></row><row r="631"><cell r="A631" t="str"><v>MON.VAR</v></cell><cell r="B631" t="str"><v>Montia fontana subsp. variabilis</v></cell></row><row r="631"><cell r="E631" t="str"><v>S. M. Walters    </v></cell></row><row r="631"><cell r="M631" t="str"><v>PHe</v></cell><cell r="N631"><v>8</v></cell><cell r="O631" t="str"><v>HYD/HEL</v></cell></row><row r="632"><cell r="A632" t="str"><v>MON.SPX</v></cell><cell r="B632" t="str"><v>Montia sp.</v></cell></row><row r="632"><cell r="E632" t="str"><v>      </v></cell></row><row r="632"><cell r="M632" t="str"><v>PHe</v></cell><cell r="N632"><v>8</v></cell><cell r="O632" t="str"><v>HYD/HEL</v></cell></row><row r="633"><cell r="A633" t="str"><v>MUR.BLU</v></cell><cell r="B633" t="str"><v>Murdannia blumei        </v></cell></row><row r="633"><cell r="E633" t="str"><v>      </v></cell></row><row r="633"><cell r="M633" t="str"><v>PHe</v></cell><cell r="N633"><v>8</v></cell><cell r="O633" t="str"><v>HYD/HEL</v></cell></row><row r="634"><cell r="A634" t="str"><v>MYO.PAL</v></cell><cell r="B634" t="str"><v>Myosotis gr. palustris (M. scorpioïdes)</v></cell><cell r="C634"><v>12</v></cell><cell r="D634"><v>1</v></cell><cell r="E634" t="str"><v>      </v></cell><cell r="F634" t="str"><v>Myosotis scorpioïdes L.</v></cell></row><row r="634"><cell r="M634" t="str"><v>PHe</v></cell><cell r="N634"><v>8</v></cell><cell r="O634" t="str"><v>HYD/HEL</v></cell><cell r="P634" t="str"><v>IBMR</v></cell></row><row r="635"><cell r="A635" t="str"><v>MYO.LAX</v></cell><cell r="B635" t="str"><v>Myosotis laxa        </v></cell></row><row r="635"><cell r="E635" t="str"><v>      </v></cell></row><row r="635"><cell r="M635" t="str"><v>PHe</v></cell><cell r="N635"><v>8</v></cell><cell r="O635" t="str"><v>HEL</v></cell></row><row r="636"><cell r="A636" t="str"><v>MYO.SEC</v></cell><cell r="B636" t="str"><v>Myosotis secunda</v></cell></row><row r="636"><cell r="E636" t="str"><v>Murray      </v></cell></row><row r="636"><cell r="M636" t="str"><v>PHe</v></cell><cell r="N636"><v>8</v></cell><cell r="O636" t="str"><v>HEL</v></cell></row><row r="637"><cell r="A637" t="str"><v>MYO.SPX</v></cell><cell r="B637" t="str"><v>Myosotis sp.</v></cell></row><row r="637"><cell r="E637" t="str"><v>      </v></cell></row><row r="637"><cell r="M637" t="str"><v>PHe</v></cell><cell r="N637"><v>8</v></cell><cell r="O637" t="str"><v>HEL</v></cell></row><row r="638"><cell r="A638" t="str"><v>MYO.STO</v></cell><cell r="B638" t="str"><v>Myosotis stolonifera        </v></cell></row><row r="638"><cell r="E638" t="str"><v>      </v></cell></row><row r="638"><cell r="M638" t="str"><v>PHe</v></cell><cell r="N638"><v>8</v></cell><cell r="O638" t="str"><v>HEL</v></cell></row><row r="639"><cell r="A639" t="str"><v>MYR.AQU</v></cell><cell r="B639" t="str"><v>Myriophyllum aquaticum        </v></cell></row><row r="639"><cell r="E639" t="str"><v>      </v></cell></row><row r="639"><cell r="M639" t="str"><v>PHe</v></cell><cell r="N639"><v>8</v></cell><cell r="O639" t="str"><v>HYD/HEL</v></cell></row><row r="640"><cell r="A640" t="str"><v>NAS.OFF</v></cell><cell r="B640" t="str"><v>Nasturtium officinale (Rorippa nasturtium-aquaticum)</v></cell><cell r="C640"><v>11</v></cell><cell r="D640"><v>1</v></cell><cell r="E640" t="str"><v>sl R. Br.    </v></cell><cell r="F640" t="str"><v>Rorippa nasturtium-aquaticum L.</v></cell></row><row r="640"><cell r="M640" t="str"><v>PHe</v></cell><cell r="N640"><v>8</v></cell><cell r="O640" t="str"><v>HYD/HEL</v></cell><cell r="P640" t="str"><v>IBMR</v></cell></row><row r="641"><cell r="A641" t="str"><v>OEN.AQU</v></cell><cell r="B641" t="str"><v>Oenanthe aquatica</v></cell><cell r="C641"><v>11</v></cell><cell r="D641"><v>2</v></cell><cell r="E641" t="str"><v>(L.) Poiret     </v></cell></row><row r="641"><cell r="M641" t="str"><v>PHe</v></cell><cell r="N641"><v>8</v></cell><cell r="O641" t="str"><v>HYD/HEL</v></cell><cell r="P641" t="str"><v>IBMR</v></cell></row><row r="642"><cell r="A642" t="str"><v>OEN.CRO</v></cell><cell r="B642" t="str"><v>Oenanthe crocata</v></cell><cell r="C642"><v>12</v></cell><cell r="D642"><v>2</v></cell><cell r="E642" t="str"><v>L.      </v></cell></row><row r="642"><cell r="M642" t="str"><v>PHe</v></cell><cell r="N642"><v>8</v></cell><cell r="O642" t="str"><v>HYD/HEL</v></cell><cell r="P642" t="str"><v>IBMR</v></cell></row><row r="643"><cell r="A643" t="str"><v>OEN.FIS</v></cell><cell r="B643" t="str"><v>Oenanthe fistulosa</v></cell></row><row r="643"><cell r="E643" t="str"><v>L.      </v></cell></row><row r="643"><cell r="M643" t="str"><v>PHe</v></cell><cell r="N643"><v>8</v></cell><cell r="O643" t="str"><v>HYD/HEL</v></cell></row><row r="644"><cell r="A644" t="str"><v>OEN.FLU</v></cell><cell r="B644" t="str"><v>Oenanthe fluviatilis  </v></cell><cell r="C644"><v>10</v></cell><cell r="D644"><v>2</v></cell><cell r="E644" t="str"><v>(Bab.) Coleman     </v></cell></row><row r="644"><cell r="M644" t="str"><v>PHe</v></cell><cell r="N644"><v>8</v></cell><cell r="O644" t="str"><v>HYD/HEL</v></cell><cell r="P644" t="str"><v>IBMR</v></cell></row><row r="645"><cell r="A645" t="str"><v>OEN.SPX</v></cell><cell r="B645" t="str"><v>Oenanthe sp.</v></cell></row><row r="645"><cell r="E645" t="str"><v>      </v></cell></row><row r="645"><cell r="M645" t="str"><v>PHe</v></cell><cell r="N645"><v>8</v></cell><cell r="O645" t="str"><v>HYD/HEL</v></cell></row><row r="646"><cell r="A646" t="str"><v>PHA.ARU</v></cell><cell r="B646" t="str"><v>Phalaris arundinacea</v></cell><cell r="C646"><v>10</v></cell><cell r="D646"><v>1</v></cell><cell r="E646" t="str"><v>L.      </v></cell></row><row r="646"><cell r="M646" t="str"><v>PHe</v></cell><cell r="N646"><v>8</v></cell><cell r="O646" t="str"><v>HYD/HEL</v></cell><cell r="P646" t="str"><v>IBMR</v></cell></row><row r="647"><cell r="A647" t="str"><v>PHR.AUS</v></cell><cell r="B647" t="str"><v>Phragmites australis</v></cell><cell r="C647"><v>9</v></cell><cell r="D647"><v>2</v></cell><cell r="E647" t="str"><v>Cav. Trin. Ex Steud   </v></cell><cell r="F647" t="str"><v>Phragmites communis Trin.</v></cell></row><row r="647"><cell r="M647" t="str"><v>PHe</v></cell><cell r="N647"><v>8</v></cell><cell r="O647" t="str"><v>HEL</v></cell><cell r="P647" t="str"><v>IBMR</v></cell></row><row r="648"><cell r="A648" t="str"><v>POL.AMP</v></cell><cell r="B648" t="str"><v>Polygonum amphibium (Persicaria amphibia)</v></cell><cell r="C648"><v>9</v></cell><cell r="D648"><v>2</v></cell><cell r="E648" t="str"><v>L.      </v></cell><cell r="F648" t="str"><v>Persicaria amphibia L. Gray</v></cell></row><row r="648"><cell r="M648" t="str"><v>PHe</v></cell><cell r="N648"><v>8</v></cell><cell r="O648" t="str"><v>HYD/HEL</v></cell><cell r="P648" t="str"><v>IBMR</v></cell></row><row r="649"><cell r="A649" t="str"><v>POL.HYD</v></cell><cell r="B649" t="str"><v>Polygonum hydropiper (Persicaria hydropiper)</v></cell><cell r="C649"><v>8</v></cell><cell r="D649"><v>2</v></cell><cell r="E649" t="str"><v>L. fo. Aq.    </v></cell><cell r="F649" t="str"><v>Persicaria hydropiper L. Delarbe</v></cell></row><row r="649"><cell r="M649" t="str"><v>PHe</v></cell><cell r="N649"><v>8</v></cell><cell r="O649" t="str"><v>HEL</v></cell><cell r="P649" t="str"><v>IBMR</v></cell></row><row r="650"><cell r="A650" t="str"><v>POE.PAL</v></cell><cell r="B650" t="str"><v>Potentilla palustris</v></cell><cell r="C650"><v>16</v></cell><cell r="D650"><v>3</v></cell><cell r="E650" t="str"><v>(L.) Scop.     </v></cell></row><row r="650"><cell r="M650" t="str"><v>PHe</v></cell><cell r="N650"><v>8</v></cell><cell r="O650" t="str"><v>HEL</v></cell><cell r="P650" t="str"><v>IBMR</v></cell></row><row r="651"><cell r="A651" t="str"><v>POE.SPX</v></cell><cell r="B651" t="str"><v>Potentilla sp.</v></cell></row><row r="651"><cell r="E651" t="str"><v>      </v></cell></row><row r="651"><cell r="M651" t="str"><v>PHe</v></cell><cell r="N651"><v>8</v></cell><cell r="O651" t="str"><v>HEL</v></cell></row><row r="652"><cell r="A652" t="str"><v>RAN.FLF</v></cell><cell r="B652" t="str"><v>Ranunculus flammula subsp. flammula      </v></cell></row><row r="652"><cell r="E652" t="str"><v>      </v></cell></row><row r="652"><cell r="M652" t="str"><v>PHe</v></cell><cell r="N652"><v>8</v></cell><cell r="O652" t="str"><v>HYD/HEL</v></cell></row><row r="653"><cell r="A653" t="str"><v>RAN.MIN</v></cell><cell r="B653" t="str"><v>Ranunculus flammula subsp. minimus      </v></cell></row><row r="653"><cell r="E653" t="str"><v>      </v></cell></row><row r="653"><cell r="M653" t="str"><v>PHe</v></cell><cell r="N653"><v>8</v></cell><cell r="O653" t="str"><v>HYD/HEL</v></cell></row><row r="654"><cell r="A654" t="str"><v>RAN.SCO</v></cell><cell r="B654" t="str"><v>Ranunculus flammula subsp. scoticus      </v></cell></row><row r="654"><cell r="E654" t="str"><v>      </v></cell></row><row r="654"><cell r="M654" t="str"><v>PHe</v></cell><cell r="N654"><v>8</v></cell><cell r="O654" t="str"><v>HYD/HEL</v></cell></row><row r="655"><cell r="A655" t="str"><v>RAN.LIN</v></cell><cell r="B655" t="str"><v>Ranunculus lingua        </v></cell></row><row r="655"><cell r="E655" t="str"><v>      </v></cell></row><row r="655"><cell r="M655" t="str"><v>PHe</v></cell><cell r="N655"><v>8</v></cell><cell r="O655" t="str"><v>HEL</v></cell></row><row r="656"><cell r="A656" t="str"><v>REY.JAP</v></cell><cell r="B656" t="str"><v>Reynoutria japonica</v></cell></row><row r="656"><cell r="E656" t="str"><v>Houtt.      </v></cell><cell r="F656" t="str"><v>Blyxa japonica</v></cell></row><row r="656"><cell r="M656" t="str"><v>PHe</v></cell><cell r="N656"><v>8</v></cell><cell r="O656" t="str"><v>HYD/HEL</v></cell></row><row r="657"><cell r="A657" t="str"><v>ROR.AMP</v></cell><cell r="B657" t="str"><v>Rorippa amphibia</v></cell><cell r="C657"><v>9</v></cell><cell r="D657"><v>1</v></cell><cell r="E657" t="str"><v>(L.) Besser     </v></cell></row><row r="657"><cell r="M657" t="str"><v>PHe</v></cell><cell r="N657"><v>8</v></cell><cell r="O657" t="str"><v>HEL</v></cell><cell r="P657" t="str"><v>IBMR</v></cell></row><row r="658"><cell r="A658" t="str"><v>ROR.ARM</v></cell><cell r="B658" t="str"><v>Rorippa cf x armoracioides      </v></cell></row><row r="658"><cell r="E658" t="str"><v>      </v></cell></row><row r="658"><cell r="M658" t="str"><v>PHe</v></cell><cell r="N658"><v>8</v></cell><cell r="O658" t="str"><v>HYD/HEL</v></cell></row><row r="659"><cell r="A659" t="str"><v>ROR.ERY</v></cell><cell r="B659" t="str"><v>Rorippa cf x erythrocaulis      </v></cell></row><row r="659"><cell r="E659" t="str"><v>      </v></cell></row><row r="659"><cell r="M659" t="str"><v>PHe</v></cell><cell r="N659"><v>8</v></cell><cell r="O659" t="str"><v>HYD/HEL</v></cell></row><row r="660"><cell r="A660" t="str"><v>ROR.MIC</v></cell><cell r="B660" t="str"><v>Rorippa microphylla</v></cell></row><row r="660"><cell r="E660" t="str"><v>Boenn      </v></cell></row><row r="660"><cell r="M660" t="str"><v>PHe</v></cell><cell r="N660"><v>8</v></cell><cell r="O660" t="str"><v>HYD/HEL</v></cell></row><row r="661"><cell r="A661" t="str"><v>ROR.SPX</v></cell><cell r="B661" t="str"><v>Rorippa sp.</v></cell></row><row r="661"><cell r="E661" t="str"><v>      </v></cell></row><row r="661"><cell r="M661" t="str"><v>PHe</v></cell><cell r="N661"><v>8</v></cell><cell r="O661" t="str"><v>HYD/HEL</v></cell></row><row r="662"><cell r="A662" t="str"><v>ROT.FIL</v></cell><cell r="B662" t="str"><v>Rotala filiformis        </v></cell></row><row r="662"><cell r="E662" t="str"><v>      </v></cell></row><row r="662"><cell r="M662" t="str"><v>PHe</v></cell><cell r="N662"><v>8</v></cell><cell r="O662" t="str"><v>HYD/HEL</v></cell></row><row r="663"><cell r="A663" t="str"><v>ROT.IND</v></cell><cell r="B663" t="str"><v>Rotala indica        </v></cell></row><row r="663"><cell r="E663" t="str"><v>      </v></cell></row><row r="663"><cell r="M663" t="str"><v>PHe</v></cell><cell r="N663"><v>8</v></cell><cell r="O663" t="str"><v>HYD/HEL</v></cell></row><row r="664"><cell r="A664" t="str"><v>RUM.HYD</v></cell><cell r="B664" t="str"><v>Rumex hydrolapathum</v></cell></row><row r="664"><cell r="E664" t="str"><v>Huds.      </v></cell></row><row r="664"><cell r="M664" t="str"><v>PHe</v></cell><cell r="N664"><v>8</v></cell><cell r="O664" t="str"><v>HEL</v></cell></row><row r="665"><cell r="A665" t="str"><v>SAG.LAT</v></cell><cell r="B665" t="str"><v>Sagittaria latifolia        </v></cell></row><row r="665"><cell r="E665" t="str"><v>      </v></cell></row><row r="665"><cell r="M665" t="str"><v>PHe</v></cell><cell r="N665"><v>8</v></cell><cell r="O665" t="str"><v>HYD/HEL</v></cell></row><row r="666"><cell r="A666" t="str"><v>SAG.NAT</v></cell><cell r="B666" t="str"><v>Sagittaria natans        </v></cell></row><row r="666"><cell r="E666" t="str"><v>      </v></cell></row><row r="666"><cell r="M666" t="str"><v>PHe</v></cell><cell r="N666"><v>8</v></cell><cell r="O666" t="str"><v>HYD/HEL</v></cell></row><row r="667"><cell r="A667" t="str"><v>SAG.RIG</v></cell><cell r="B667" t="str"><v>Sagittaria rigida        </v></cell></row><row r="667"><cell r="E667" t="str"><v>      </v></cell></row><row r="667"><cell r="M667" t="str"><v>PHe</v></cell><cell r="N667"><v>8</v></cell><cell r="O667" t="str"><v>HYD/HEL</v></cell></row><row r="668"><cell r="A668" t="str"><v>SAG.SAG</v></cell><cell r="B668" t="str"><v>Sagittaria sagittifolia</v></cell><cell r="C668"><v>6</v></cell><cell r="D668"><v>2</v></cell><cell r="E668" t="str"><v>L.      </v></cell></row><row r="668"><cell r="M668" t="str"><v>PHe</v></cell><cell r="N668"><v>8</v></cell><cell r="O668" t="str"><v>HYD/HEL</v></cell><cell r="P668" t="str"><v>IBMR</v></cell></row><row r="669"><cell r="A669" t="str"><v>SAG.SUB</v></cell><cell r="B669" t="str"><v>Sagittaria subulata        </v></cell></row><row r="669"><cell r="E669" t="str"><v>      </v></cell></row><row r="669"><cell r="M669" t="str"><v>PHe</v></cell><cell r="N669"><v>8</v></cell><cell r="O669" t="str"><v>HYD/HEL</v></cell></row><row r="670"><cell r="A670" t="str"><v>SAM.VAL</v></cell><cell r="B670" t="str"><v>Samolus valerandi</v></cell></row><row r="670"><cell r="E670" t="str"><v>L.      </v></cell></row><row r="670"><cell r="M670" t="str"><v>PHe</v></cell><cell r="N670"><v>8</v></cell><cell r="O670" t="str"><v>HYD/HEL</v></cell></row><row r="671"><cell r="A671" t="str"><v>SCN.PUN</v></cell><cell r="B671" t="str"><v>Schoenoplectus pungens        </v></cell></row><row r="671"><cell r="E671" t="str"><v>      </v></cell></row><row r="671"><cell r="M671" t="str"><v>PHe</v></cell><cell r="N671"><v>8</v></cell><cell r="O671" t="str"><v>HYD/HEL</v></cell></row><row r="672"><cell r="A672" t="str"><v>SCN.SUP</v></cell><cell r="B672" t="str"><v>Schoenoplectus supinus        </v></cell></row><row r="672"><cell r="E672" t="str"><v>      </v></cell></row><row r="672"><cell r="M672" t="str"><v>PHe</v></cell><cell r="N672"><v>8</v></cell><cell r="O672" t="str"><v>HYD/HEL</v></cell></row><row r="673"><cell r="A673" t="str"><v>SCN.TAB</v></cell><cell r="B673" t="str"><v>Schoenoplectus tabermaemontani</v></cell></row><row r="673"><cell r="E673" t="str"><v>      </v></cell><cell r="F673" t="str"><v>Scirpus tabernaemontani </v></cell></row><row r="673"><cell r="M673" t="str"><v>PHe</v></cell><cell r="N673"><v>8</v></cell><cell r="O673" t="str"><v>HYD/HEL</v></cell></row><row r="674"><cell r="A674" t="str"><v>SCP.HOL</v></cell><cell r="B674" t="str"><v>Scirpoides holoschoenus        </v></cell></row><row r="674"><cell r="E674" t="str"><v>      </v></cell></row><row r="674"><cell r="M674" t="str"><v>PHe</v></cell><cell r="N674"><v>8</v></cell><cell r="O674" t="str"><v>HEL</v></cell></row><row r="675"><cell r="A675" t="str"><v>SCI.LAC</v></cell><cell r="B675" t="str"><v>Scirpus lacustris (Schoenoplectus lacustris)</v></cell><cell r="C675"><v>8</v></cell><cell r="D675"><v>2</v></cell><cell r="E675" t="str"><v>L.      </v></cell><cell r="F675" t="str"><v>Schoenoplectus lacustris</v></cell></row><row r="675"><cell r="M675" t="str"><v>PHe</v></cell><cell r="N675"><v>8</v></cell><cell r="O675" t="str"><v>HYD/HEL</v></cell><cell r="P675" t="str"><v>IBMR</v></cell></row><row r="676"><cell r="A676" t="str"><v>SCI.SPX</v></cell><cell r="B676" t="str"><v>Scirpus sp.</v></cell></row><row r="676"><cell r="E676" t="str"><v>      </v></cell></row><row r="676"><cell r="M676" t="str"><v>PHe</v></cell><cell r="N676"><v>8</v></cell><cell r="O676" t="str"><v>HYD/HEL</v></cell></row><row r="677"><cell r="A677" t="str"><v>SCI.SYL</v></cell><cell r="B677" t="str"><v>Scirpus sylvaticus</v></cell><cell r="C677"><v>10</v></cell><cell r="D677"><v>2</v></cell><cell r="E677" t="str"><v>L.      </v></cell></row><row r="677"><cell r="M677" t="str"><v>PHe</v></cell><cell r="N677"><v>8</v></cell><cell r="O677" t="str"><v>HYG/HEL</v></cell><cell r="P677" t="str"><v>IBMR</v></cell></row><row r="678"><cell r="A678" t="str"><v>SCI.TRI</v></cell><cell r="B678" t="str"><v>Scirpus triquetrus        </v></cell></row><row r="678"><cell r="E678" t="str"><v>      </v></cell></row><row r="678"><cell r="M678" t="str"><v>PHe</v></cell><cell r="N678"><v>8</v></cell><cell r="O678" t="str"><v>HEL</v></cell></row><row r="679"><cell r="A679" t="str"><v>SHI.RIV</v></cell><cell r="B679" t="str"><v>Shinnersia rivularis        </v></cell></row><row r="679"><cell r="E679" t="str"><v>      </v></cell></row><row r="679"><cell r="M679" t="str"><v>PHe</v></cell><cell r="N679"><v>8</v></cell><cell r="O679" t="str"><v>HYD/HEL</v></cell></row><row r="680"><cell r="A680" t="str"><v>SPA.ANR</v></cell><cell r="B680" t="str"><v>Sparganium angustifolium/emersum x gramineum      </v></cell></row><row r="680"><cell r="E680" t="str"><v>      </v></cell></row><row r="680"><cell r="M680" t="str"><v>PHe</v></cell><cell r="N680"><v>8</v></cell><cell r="O680" t="str"><v>HYD/HEL</v></cell></row><row r="681"><cell r="A681" t="str"><v>SPA.ERE</v></cell><cell r="B681" t="str"><v>Sparganium erectum</v></cell><cell r="C681"><v>10</v></cell><cell r="D681"><v>1</v></cell><cell r="E681" t="str"><v>L.      </v></cell></row><row r="681"><cell r="M681" t="str"><v>PHe</v></cell><cell r="N681"><v>8</v></cell><cell r="O681" t="str"><v>HYD/HEL</v></cell><cell r="P681" t="str"><v>IBMR</v></cell></row><row r="682"><cell r="A682" t="str"><v>SPA.ERR</v></cell><cell r="B682" t="str"><v>Sparganium erectum subsp. erectum      </v></cell></row><row r="682"><cell r="E682" t="str"><v>      </v></cell></row><row r="682"><cell r="M682" t="str"><v>PHe</v></cell><cell r="N682"><v>8</v></cell><cell r="O682" t="str"><v>HYD/HEL</v></cell></row><row r="683"><cell r="A683" t="str"><v>SPA.MIC</v></cell><cell r="B683" t="str"><v>Sparganium erectum subsp. microcarpum      </v></cell></row><row r="683"><cell r="E683" t="str"><v>      </v></cell></row><row r="683"><cell r="M683" t="str"><v>PHe</v></cell><cell r="N683"><v>8</v></cell><cell r="O683" t="str"><v>HYD/HEL</v></cell></row><row r="684"><cell r="A684" t="str"><v>SPA.NEG</v></cell><cell r="B684" t="str"><v>Sparganium erectum subsp. neglectum      </v></cell></row><row r="684"><cell r="E684" t="str"><v>      </v></cell></row><row r="684"><cell r="M684" t="str"><v>PHe</v></cell><cell r="N684"><v>8</v></cell><cell r="O684" t="str"><v>HYD/HEL</v></cell></row><row r="685"><cell r="A685" t="str"><v>SPA.OOC</v></cell><cell r="B685" t="str"><v>Sparganium erectum subsp. oocarpum      </v></cell></row><row r="685"><cell r="E685" t="str"><v>      </v></cell></row><row r="685"><cell r="M685" t="str"><v>PHe</v></cell><cell r="N685"><v>8</v></cell><cell r="O685" t="str"><v>HYD/HEL</v></cell></row><row r="686"><cell r="A686" t="str"><v>STA.PAL</v></cell><cell r="B686" t="str"><v>Stachys palustris</v></cell></row><row r="686"><cell r="E686" t="str"><v>L.      </v></cell></row><row r="686"><cell r="M686" t="str"><v>PHe</v></cell><cell r="N686"><v>8</v></cell><cell r="O686" t="str"><v>HEL</v></cell></row><row r="687"><cell r="A687" t="str"><v>THR.VER</v></cell><cell r="B687" t="str"><v>Thorella verticillatinundata        </v></cell></row><row r="687"><cell r="E687" t="str"><v>      </v></cell></row><row r="687"><cell r="M687" t="str"><v>PHe</v></cell><cell r="N687"><v>8</v></cell><cell r="O687" t="str"><v>HYD/HEL</v></cell></row><row r="688"><cell r="A688" t="str"><v>TYP.ANG</v></cell><cell r="B688" t="str"><v>Typha angustifolia</v></cell><cell r="C688"><v>6</v></cell><cell r="D688"><v>2</v></cell><cell r="E688" t="str"><v>L.      </v></cell></row><row r="688"><cell r="M688" t="str"><v>PHe</v></cell><cell r="N688"><v>8</v></cell><cell r="O688" t="str"><v>HEL</v></cell><cell r="P688" t="str"><v>IBMR</v></cell></row><row r="689"><cell r="A689" t="str"><v>TYP.DOM</v></cell><cell r="B689" t="str"><v>Typha domingensis        </v></cell></row><row r="689"><cell r="E689" t="str"><v>      </v></cell></row><row r="689"><cell r="M689" t="str"><v>PHe</v></cell><cell r="N689"><v>8</v></cell><cell r="O689" t="str"><v>HEL</v></cell></row><row r="690"><cell r="A690" t="str"><v>TYP.LAT</v></cell><cell r="B690" t="str"><v>Typha latifolia</v></cell><cell r="C690"><v>8</v></cell><cell r="D690"><v>1</v></cell><cell r="E690" t="str"><v>L.      </v></cell></row><row r="690"><cell r="M690" t="str"><v>PHe</v></cell><cell r="N690"><v>8</v></cell><cell r="O690" t="str"><v>HEL</v></cell><cell r="P690" t="str"><v>IBMR</v></cell></row><row r="691"><cell r="A691" t="str"><v>TYP.LAX</v></cell><cell r="B691" t="str"><v>Typha laxmannii        </v></cell></row><row r="691"><cell r="E691" t="str"><v>      </v></cell></row><row r="691"><cell r="M691" t="str"><v>PHe</v></cell><cell r="N691"><v>8</v></cell><cell r="O691" t="str"><v>HEL</v></cell></row><row r="692"><cell r="A692" t="str"><v>TYP.MIN</v></cell><cell r="B692" t="str"><v>Typha minima</v></cell></row><row r="692"><cell r="E692" t="str"><v>Funk      </v></cell></row><row r="692"><cell r="M692" t="str"><v>PHe</v></cell><cell r="N692"><v>8</v></cell><cell r="O692" t="str"><v>HEL</v></cell></row><row r="693"><cell r="A693" t="str"><v>TYP.SHU</v></cell><cell r="B693" t="str"><v>Typha shuttleworthii        </v></cell></row><row r="693"><cell r="E693" t="str"><v>      </v></cell></row><row r="693"><cell r="M693" t="str"><v>PHe</v></cell><cell r="N693"><v>8</v></cell><cell r="O693" t="str"><v>HEL</v></cell></row><row r="694"><cell r="A694" t="str"><v>TYP.SPX</v></cell><cell r="B694" t="str"><v>Typha sp.</v></cell></row><row r="694"><cell r="E694" t="str"><v>      </v></cell></row><row r="694"><cell r="M694" t="str"><v>PHe</v></cell><cell r="N694"><v>8</v></cell><cell r="O694" t="str"><v>HEL</v></cell></row><row r="695"><cell r="A695" t="str"><v>VER.ANA</v></cell><cell r="B695" t="str"><v>Veronica anagallis-aquatica</v></cell><cell r="C695"><v>11</v></cell><cell r="D695"><v>2</v></cell><cell r="E695" t="str"><v>L.      </v></cell></row><row r="695"><cell r="M695" t="str"><v>PHe</v></cell><cell r="N695"><v>8</v></cell><cell r="O695" t="str"><v>HYD/HEL</v></cell><cell r="P695" t="str"><v>IBMR</v></cell></row><row r="696"><cell r="A696" t="str"><v>VER.BEC</v></cell><cell r="B696" t="str"><v>Veronica beccabunga</v></cell><cell r="C696"><v>10</v></cell><cell r="D696"><v>1</v></cell><cell r="E696" t="str"><v>L.      </v></cell></row><row r="696"><cell r="M696" t="str"><v>PHe</v></cell><cell r="N696"><v>8</v></cell><cell r="O696" t="str"><v>HEL</v></cell><cell r="P696" t="str"><v>IBMR</v></cell></row><row r="697"><cell r="A697" t="str"><v>VER.CAT</v></cell><cell r="B697" t="str"><v>Veronica catenata</v></cell><cell r="C697"><v>11</v></cell><cell r="D697"><v>2</v></cell><cell r="E697" t="str"><v>Pennel      </v></cell></row><row r="697"><cell r="M697" t="str"><v>PHe</v></cell><cell r="N697"><v>8</v></cell><cell r="O697" t="str"><v>HYD/HEL</v></cell><cell r="P697" t="str"><v>IBMR</v></cell></row><row r="698"><cell r="B698" t="str"><v>- HYGROPHYTES</v></cell></row><row r="698"><cell r="E698" t="str"><v>      </v></cell></row><row r="698"><cell r="M698" t="str"><v>PHg</v></cell><cell r="N698"><v>8.9</v></cell></row><row r="699"><cell r="A699" t="str"><v>ACH.PTA</v></cell><cell r="B699" t="str"><v>Achillea ptarmica        </v></cell></row><row r="699"><cell r="E699" t="str"><v>      </v></cell></row><row r="699"><cell r="M699" t="str"><v>PHg</v></cell><cell r="N699"><v>9</v></cell><cell r="O699" t="str"><v>HYG</v></cell></row><row r="700"><cell r="A700" t="str"><v>AGP.REP</v></cell><cell r="B700" t="str"><v>Agropyrum repens</v></cell></row><row r="700"><cell r="E700" t="str"><v>(L.) Beauv.     </v></cell></row><row r="700"><cell r="M700" t="str"><v>PHg</v></cell><cell r="N700"><v>9</v></cell><cell r="O700" t="str"><v>HYG</v></cell></row><row r="701"><cell r="A701" t="str"><v>AGR.CAN</v></cell><cell r="B701" t="str"><v>Agrostis canina</v></cell></row><row r="701"><cell r="E701" t="str"><v>L.      </v></cell></row><row r="701"><cell r="M701" t="str"><v>PHg</v></cell><cell r="N701"><v>9</v></cell><cell r="O701" t="str"><v>HYG</v></cell></row><row r="702"><cell r="A702" t="str"><v>AGR.SPX</v></cell><cell r="B702" t="str"><v>Agrostis sp.        </v></cell></row><row r="702"><cell r="E702" t="str"><v>      </v></cell></row><row r="702"><cell r="M702" t="str"><v>PHg</v></cell><cell r="N702"><v>9</v></cell><cell r="O702" t="str"><v>HYG/HEL</v></cell></row><row r="703"><cell r="A703" t="str"><v>AGR.VUL</v></cell><cell r="B703" t="str"><v>Agrostis vulgaris</v></cell></row><row r="703"><cell r="E703" t="str"><v>With.      </v></cell></row><row r="703"><cell r="M703" t="str"><v>PHg</v></cell><cell r="N703"><v>9</v></cell><cell r="O703" t="str"><v>HYG</v></cell></row><row r="704"><cell r="A704" t="str"><v>ALO.AEQ</v></cell><cell r="B704" t="str"><v>Alopecurus aequalis</v></cell></row><row r="704"><cell r="E704" t="str"><v>Sobol      </v></cell></row><row r="704"><cell r="M704" t="str"><v>PHg</v></cell><cell r="N704"><v>9</v></cell><cell r="O704" t="str"><v>HYG</v></cell></row><row r="705"><cell r="A705" t="str"><v>ALO.GEN</v></cell><cell r="B705" t="str"><v>Alopecurus geniculatus</v></cell></row><row r="705"><cell r="E705" t="str"><v>Sobolewski      </v></cell></row><row r="705"><cell r="M705" t="str"><v>PHg</v></cell><cell r="N705"><v>9</v></cell><cell r="O705" t="str"><v>HYG</v></cell></row><row r="706"><cell r="A706" t="str"><v>ALO.PRA</v></cell><cell r="B706" t="str"><v>Alopecurus pratensis</v></cell></row><row r="706"><cell r="E706" t="str"><v>L.      </v></cell></row><row r="706"><cell r="M706" t="str"><v>PHg</v></cell><cell r="N706"><v>9</v></cell><cell r="O706" t="str"><v>HYG</v></cell></row><row r="707"><cell r="A707" t="str"><v>ALO.SPX</v></cell><cell r="B707" t="str"><v>Alopecurus sp.</v></cell></row><row r="707"><cell r="E707" t="str"><v>      </v></cell></row><row r="707"><cell r="M707" t="str"><v>PHg</v></cell><cell r="N707"><v>9</v></cell><cell r="O707" t="str"><v>HYG</v></cell></row><row r="708"><cell r="A708" t="str"><v>AMA.SPX</v></cell><cell r="B708" t="str"><v>Amaranthus sp.        </v></cell></row><row r="708"><cell r="E708" t="str"><v>      </v></cell></row><row r="708"><cell r="M708" t="str"><v>PHg</v></cell><cell r="N708"><v>9</v></cell><cell r="O708" t="str"><v>HYG</v></cell></row><row r="709"><cell r="A709" t="str"><v>ANG.ARC</v></cell><cell r="B709" t="str"><v>Angelica archangelica subsp. litoralis</v></cell></row><row r="709"><cell r="E709" t="str"><v>(Fr.) Thell.     </v></cell></row><row r="709"><cell r="M709" t="str"><v>PHg</v></cell><cell r="N709"><v>9</v></cell><cell r="O709" t="str"><v>HYG</v></cell></row><row r="710"><cell r="A710" t="str"><v>ANG.SYL</v></cell><cell r="B710" t="str"><v>Angelica sylvestris</v></cell></row><row r="710"><cell r="E710" t="str"><v>L.      </v></cell></row><row r="710"><cell r="M710" t="str"><v>PHg</v></cell><cell r="N710"><v>9</v></cell><cell r="O710" t="str"><v>HYG</v></cell></row><row r="711"><cell r="A711" t="str"><v>ARU.DON</v></cell><cell r="B711" t="str"><v>Arundo donax        </v></cell></row><row r="711"><cell r="E711" t="str"><v>      </v></cell></row><row r="711"><cell r="M711" t="str"><v>PHg</v></cell><cell r="N711"><v>9</v></cell><cell r="O711" t="str"><v>HYG/HEL</v></cell></row><row r="712"><cell r="A712" t="str"><v>ATI.CAL</v></cell><cell r="B712" t="str"><v>Atriplex calotheca</v></cell></row><row r="712"><cell r="E712" t="str"><v>(Rafn) Fries     </v></cell></row><row r="712"><cell r="M712" t="str"><v>PHg</v></cell><cell r="N712"><v>9</v></cell><cell r="O712" t="str"><v>HYG</v></cell></row><row r="713"><cell r="A713" t="str"><v>BAR.INT</v></cell><cell r="B713" t="str"><v>Barbarea intermedia</v></cell></row><row r="713"><cell r="E713" t="str"><v>Boreau      </v></cell></row><row r="713"><cell r="M713" t="str"><v>PHg</v></cell><cell r="N713"><v>9</v></cell><cell r="O713" t="str"><v>HYG</v></cell></row><row r="714"><cell r="A714" t="str"><v>BAR.VUL</v></cell><cell r="B714" t="str"><v>Barbarea vulgaris</v></cell></row><row r="714"><cell r="E714" t="str"><v>R. Br.     </v></cell></row><row r="714"><cell r="M714" t="str"><v>PHg</v></cell><cell r="N714"><v>9</v></cell><cell r="O714" t="str"><v>HYG</v></cell></row><row r="715"><cell r="A715" t="str"><v>BID.CER</v></cell><cell r="B715" t="str"><v>Bidens cernua</v></cell></row><row r="715"><cell r="E715" t="str"><v>L.      </v></cell></row><row r="715"><cell r="M715" t="str"><v>PHg</v></cell><cell r="N715"><v>9</v></cell><cell r="O715" t="str"><v>HYG</v></cell></row><row r="716"><cell r="A716" t="str"><v>BID.SPX</v></cell><cell r="B716" t="str"><v>Bidens sp.        </v></cell></row><row r="716"><cell r="E716" t="str"><v>      </v></cell></row><row r="716"><cell r="M716" t="str"><v>PHg</v></cell><cell r="N716"><v>9</v></cell><cell r="O716" t="str"><v>HYG</v></cell></row><row r="717"><cell r="A717" t="str"><v>BID.TRI</v></cell><cell r="B717" t="str"><v>Bidens tripartita  </v></cell></row><row r="717"><cell r="E717" t="str"><v>L.      </v></cell></row><row r="717"><cell r="M717" t="str"><v>PHg</v></cell><cell r="N717"><v>9</v></cell><cell r="O717" t="str"><v>HYG</v></cell></row><row r="718"><cell r="A718" t="str"><v>BRO.DIO</v></cell><cell r="B718" t="str"><v>Bryonia dioica</v></cell></row><row r="718"><cell r="E718" t="str"><v>Jacq.      </v></cell></row><row r="718"><cell r="M718" t="str"><v>PHg</v></cell><cell r="N718"><v>9</v></cell><cell r="O718" t="str"><v>HYG</v></cell></row><row r="719"><cell r="A719" t="str"><v>CAY.SEP</v></cell><cell r="B719" t="str"><v>Calystegia sepium</v></cell></row><row r="719"><cell r="E719" t="str"><v>(L.) R. Br.    </v></cell></row><row r="719"><cell r="M719" t="str"><v>PHg</v></cell><cell r="N719"><v>9</v></cell><cell r="O719" t="str"><v>HYG</v></cell></row><row r="720"><cell r="A720" t="str"><v>CAM.AMA</v></cell><cell r="B720" t="str"><v>Cardamine amara</v></cell></row><row r="720"><cell r="E720" t="str"><v>L.      </v></cell></row><row r="720"><cell r="M720" t="str"><v>PHg</v></cell><cell r="N720"><v>9</v></cell><cell r="O720" t="str"><v>HYG/HEL</v></cell></row><row r="721"><cell r="A721" t="str"><v>CAM.HIR</v></cell><cell r="B721" t="str"><v>Cardamine hirsuta</v></cell></row><row r="721"><cell r="E721" t="str"><v>L.      </v></cell></row><row r="721"><cell r="M721" t="str"><v>PHg</v></cell><cell r="N721"><v>9</v></cell><cell r="O721" t="str"><v>HYG</v></cell></row><row r="722"><cell r="A722" t="str"><v>CAM.LAT</v></cell><cell r="B722" t="str"><v>Cardamine latifolia        </v></cell></row><row r="722"><cell r="E722" t="str"><v>      </v></cell></row><row r="722"><cell r="M722" t="str"><v>PHg</v></cell><cell r="N722"><v>9</v></cell><cell r="O722" t="str"><v>HYG/HEL</v></cell></row><row r="723"><cell r="A723" t="str"><v>CAM.PRA</v></cell><cell r="B723" t="str"><v>Cardamine pratensis</v></cell></row><row r="723"><cell r="E723" t="str"><v>L.      </v></cell></row><row r="723"><cell r="M723" t="str"><v>PHg</v></cell><cell r="N723"><v>9</v></cell><cell r="O723" t="str"><v>HYG</v></cell></row><row r="724"><cell r="A724" t="str"><v>CAM.SPX</v></cell><cell r="B724" t="str"><v>Cardamine sp.</v></cell></row><row r="724"><cell r="E724" t="str"><v>      </v></cell></row><row r="724"><cell r="M724" t="str"><v>PHg</v></cell><cell r="N724"><v>9</v></cell><cell r="O724" t="str"><v>HYG/HEL</v></cell></row><row r="725"><cell r="A725" t="str"><v>CAR.DIS</v></cell><cell r="B725" t="str"><v>Carex disticha        </v></cell></row><row r="725"><cell r="E725" t="str"><v>      </v></cell></row><row r="725"><cell r="M725" t="str"><v>PHg</v></cell><cell r="N725"><v>9</v></cell><cell r="O725" t="str"><v>HYG</v></cell></row><row r="726"><cell r="A726" t="str"><v>CAR.HIR</v></cell><cell r="B726" t="str"><v>Carex hirta        </v></cell></row><row r="726"><cell r="E726" t="str"><v>      </v></cell></row><row r="726"><cell r="M726" t="str"><v>PHg</v></cell><cell r="N726"><v>9</v></cell><cell r="O726" t="str"><v>HYG</v></cell></row><row r="727"><cell r="A727" t="str"><v>CAR.LAS</v></cell><cell r="B727" t="str"><v>Carex lasiocarpa        </v></cell></row><row r="727"><cell r="E727" t="str"><v>      </v></cell></row><row r="727"><cell r="M727" t="str"><v>PHg</v></cell><cell r="N727"><v>9</v></cell><cell r="O727" t="str"><v>HYG</v></cell></row><row r="728"><cell r="A728" t="str"><v>CAR.LIM</v></cell><cell r="B728" t="str"><v>Carex limosa        </v></cell></row><row r="728"><cell r="E728" t="str"><v>      </v></cell></row><row r="728"><cell r="M728" t="str"><v>PHg</v></cell><cell r="N728"><v>9</v></cell><cell r="O728" t="str"><v>HYG</v></cell></row><row r="729"><cell r="A729" t="str"><v>CAR.NIG</v></cell><cell r="B729" t="str"><v>Carex nigra</v></cell></row><row r="729"><cell r="E729" t="str"><v>(L.) Reichard     </v></cell></row><row r="729"><cell r="M729" t="str"><v>PHg</v></cell><cell r="N729"><v>9</v></cell><cell r="O729" t="str"><v>HYG/HEL</v></cell></row><row r="730"><cell r="A730" t="str"><v>CAR.SPI</v></cell><cell r="B730" t="str"><v>Carex spicata</v></cell></row><row r="730"><cell r="E730" t="str"><v>Huds.      </v></cell></row><row r="730"><cell r="M730" t="str"><v>PHg</v></cell><cell r="N730"><v>9</v></cell><cell r="O730" t="str"><v>HYG</v></cell></row><row r="731"><cell r="A731" t="str"><v>CHR.ALT</v></cell><cell r="B731" t="str"><v>Chrysosplenium alternifolium</v></cell></row><row r="731"><cell r="E731" t="str"><v>L.      </v></cell></row><row r="731"><cell r="M731" t="str"><v>PHg</v></cell><cell r="N731"><v>9</v></cell><cell r="O731" t="str"><v>HYG</v></cell></row><row r="732"><cell r="A732" t="str"><v>CHR.OPP</v></cell><cell r="B732" t="str"><v>Chrysosplenium oppositifolium</v></cell></row><row r="732"><cell r="E732" t="str"><v>L.      </v></cell></row><row r="732"><cell r="M732" t="str"><v>PHg</v></cell><cell r="N732"><v>9</v></cell><cell r="O732" t="str"><v>HYG</v></cell></row><row r="733"><cell r="A733" t="str"><v>CIS.OLE</v></cell><cell r="B733" t="str"><v>Cirsium oleraceum</v></cell></row><row r="733"><cell r="E733" t="str"><v>(L.) Scop.     </v></cell></row><row r="733"><cell r="M733" t="str"><v>PHg</v></cell><cell r="N733"><v>9</v></cell><cell r="O733" t="str"><v>HYG</v></cell></row><row r="734"><cell r="A734" t="str"><v>CIS.PAL</v></cell><cell r="B734" t="str"><v>Cirsium palustre</v></cell></row><row r="734"><cell r="E734" t="str"><v>(L.) Scop.     </v></cell></row><row r="734"><cell r="M734" t="str"><v>PHg</v></cell><cell r="N734"><v>9</v></cell><cell r="O734" t="str"><v>HYG</v></cell></row><row r="735"><cell r="A735" t="str"><v>COR.LIT</v></cell><cell r="B735" t="str"><v>Corrigiola litoralis        </v></cell></row><row r="735"><cell r="E735" t="str"><v>      </v></cell></row><row r="735"><cell r="M735" t="str"><v>PHg</v></cell><cell r="N735"><v>9</v></cell><cell r="O735" t="str"><v>HYG</v></cell></row><row r="736"><cell r="A736" t="str"><v>CYP.ERA</v></cell><cell r="B736" t="str"><v>Cyperus eragrostis        </v></cell></row><row r="736"><cell r="E736" t="str"><v>      </v></cell></row><row r="736"><cell r="M736" t="str"><v>PHg</v></cell><cell r="N736"><v>9</v></cell><cell r="O736" t="str"><v>HYG</v></cell></row><row r="737"><cell r="A737" t="str"><v>CYP.LON</v></cell><cell r="B737" t="str"><v>Cyperus longus</v></cell></row><row r="737"><cell r="E737" t="str"><v>L.      </v></cell></row><row r="737"><cell r="M737" t="str"><v>PHg</v></cell><cell r="N737"><v>9</v></cell><cell r="O737" t="str"><v>HYG</v></cell></row><row r="738"><cell r="A738" t="str"><v>CYP.SER</v></cell><cell r="B738" t="str"><v>Cyperus serotinus</v></cell></row><row r="738"><cell r="E738" t="str"><v>Rottb.      </v></cell></row><row r="738"><cell r="M738" t="str"><v>PHg</v></cell><cell r="N738"><v>9</v></cell><cell r="O738" t="str"><v>HYG</v></cell></row><row r="739"><cell r="A739" t="str"><v>CYP.SPX</v></cell><cell r="B739" t="str"><v>Cyperus sp.</v></cell></row><row r="739"><cell r="E739" t="str"><v>      </v></cell></row><row r="739"><cell r="M739" t="str"><v>PHg</v></cell><cell r="N739"><v>9</v></cell><cell r="O739" t="str"><v>HYG</v></cell></row><row r="740"><cell r="A740" t="str"><v>DES.CES</v></cell><cell r="B740" t="str"><v>Deschampsia cespitosa</v></cell></row><row r="740"><cell r="E740" t="str"><v>(L.) P. Beauv    </v></cell></row><row r="740"><cell r="M740" t="str"><v>PHg</v></cell><cell r="N740"><v>9</v></cell><cell r="O740" t="str"><v>HYG</v></cell></row><row r="741"><cell r="A741" t="str"><v>ECH.ORY</v></cell><cell r="B741" t="str"><v>Echinocloa oryzoides        </v></cell></row><row r="741"><cell r="E741" t="str"><v>      </v></cell></row><row r="741"><cell r="M741" t="str"><v>PHg</v></cell><cell r="N741"><v>9</v></cell><cell r="O741" t="str"><v>HYG</v></cell></row><row r="742"><cell r="A742" t="str"><v>ELA.ALS</v></cell><cell r="B742" t="str"><v>Elatine alsinastrum</v></cell></row><row r="742"><cell r="E742" t="str"><v>L.      </v></cell></row><row r="742"><cell r="M742" t="str"><v>PHg</v></cell><cell r="N742"><v>9</v></cell><cell r="O742" t="str"><v>HYG</v></cell></row><row r="743"><cell r="A743" t="str"><v>ELA.AMB</v></cell><cell r="B743" t="str"><v>Elatine ambigua        </v></cell></row><row r="743"><cell r="E743" t="str"><v>      </v></cell></row><row r="743"><cell r="M743" t="str"><v>PHg</v></cell><cell r="N743"><v>9</v></cell><cell r="O743" t="str"><v>HYG</v></cell></row><row r="744"><cell r="A744" t="str"><v>ELA.BRO</v></cell><cell r="B744" t="str"><v>Elatine brochonii        </v></cell></row><row r="744"><cell r="E744" t="str"><v>      </v></cell></row><row r="744"><cell r="M744" t="str"><v>PHg</v></cell><cell r="N744"><v>9</v></cell><cell r="O744" t="str"><v>HYG</v></cell></row><row r="745"><cell r="A745" t="str"><v>ELA.HEX</v></cell><cell r="B745" t="str"><v>Elatine hexandra</v></cell></row><row r="745"><cell r="E745" t="str"><v>(Lapierre) DC     </v></cell></row><row r="745"><cell r="M745" t="str"><v>PHg</v></cell><cell r="N745"><v>9</v></cell><cell r="O745" t="str"><v>HYG</v></cell></row><row r="746"><cell r="A746" t="str"><v>ELA.HUN</v></cell><cell r="B746" t="str"><v>Elatine hungarica        </v></cell></row><row r="746"><cell r="E746" t="str"><v>      </v></cell></row><row r="746"><cell r="M746" t="str"><v>PHg</v></cell><cell r="N746"><v>9</v></cell><cell r="O746" t="str"><v>HYG</v></cell></row><row r="747"><cell r="A747" t="str"><v>ELA.HYD</v></cell><cell r="B747" t="str"><v>Elatine hydropiper</v></cell></row><row r="747"><cell r="E747" t="str"><v>L.      </v></cell></row><row r="747"><cell r="M747" t="str"><v>PHg</v></cell><cell r="N747"><v>9</v></cell><cell r="O747" t="str"><v>HYG</v></cell></row><row r="748"><cell r="A748" t="str"><v>ELA.MAC</v></cell><cell r="B748" t="str"><v>Elatine macropoda</v></cell></row><row r="748"><cell r="E748" t="str"><v>Guss.      </v></cell></row><row r="748"><cell r="M748" t="str"><v>PHg</v></cell><cell r="N748"><v>9</v></cell><cell r="O748" t="str"><v>HYG</v></cell></row><row r="749"><cell r="A749" t="str"><v>ELA.ORT</v></cell><cell r="B749" t="str"><v>Elatine orthosperma        </v></cell></row><row r="749"><cell r="E749" t="str"><v>      </v></cell></row><row r="749"><cell r="M749" t="str"><v>PHg</v></cell><cell r="N749"><v>9</v></cell><cell r="O749" t="str"><v>HYG</v></cell></row><row r="750"><cell r="A750" t="str"><v>ELA.SPX</v></cell><cell r="B750" t="str"><v>Elatine sp.</v></cell></row><row r="750"><cell r="E750" t="str"><v>      </v></cell></row><row r="750"><cell r="M750" t="str"><v>PHg</v></cell><cell r="N750"><v>9</v></cell><cell r="O750" t="str"><v>HYG</v></cell></row><row r="751"><cell r="A751" t="str"><v>ELA.TRI</v></cell><cell r="B751" t="str"><v>Elatine triandra</v></cell></row><row r="751"><cell r="E751" t="str"><v>Schkuhr      </v></cell></row><row r="751"><cell r="M751" t="str"><v>PHg</v></cell><cell r="N751"><v>9</v></cell><cell r="O751" t="str"><v>HYG</v></cell></row><row r="752"><cell r="A752" t="str"><v>ELE.OVA</v></cell><cell r="B752" t="str"><v>Eleocharis ovata</v></cell></row><row r="752"><cell r="E752" t="str"><v>(Roth) Roem. & Schult.   </v></cell></row><row r="752"><cell r="M752" t="str"><v>PHg</v></cell><cell r="N752"><v>9</v></cell><cell r="O752" t="str"><v>HYG/HEL</v></cell></row><row r="753"><cell r="A753" t="str"><v>ELE.PAR</v></cell><cell r="B753" t="str"><v>Eleocharis parvula        </v></cell></row><row r="753"><cell r="E753" t="str"><v>      </v></cell></row><row r="753"><cell r="M753" t="str"><v>PHg</v></cell><cell r="N753"><v>9</v></cell><cell r="O753" t="str"><v>HYG/HEL</v></cell></row><row r="754"><cell r="A754" t="str"><v>ELE.UNI</v></cell><cell r="B754" t="str"><v>Eleocharis uniglumis</v></cell></row><row r="754"><cell r="E754" t="str"><v>(Link) Schultes     </v></cell></row><row r="754"><cell r="M754" t="str"><v>PHg</v></cell><cell r="N754"><v>9</v></cell><cell r="O754" t="str"><v>HYG</v></cell></row><row r="755"><cell r="A755" t="str"><v>EPI.CIL</v></cell><cell r="B755" t="str"><v>Epilobium ciliatum</v></cell></row><row r="755"><cell r="E755" t="str"><v>Rafin.      </v></cell></row><row r="755"><cell r="M755" t="str"><v>PHg</v></cell><cell r="N755"><v>9</v></cell><cell r="O755" t="str"><v>HYG</v></cell></row><row r="756"><cell r="A756" t="str"><v>EPI.HIR</v></cell><cell r="B756" t="str"><v>Epilobium hirsutum</v></cell></row><row r="756"><cell r="E756" t="str"><v>L.      </v></cell></row><row r="756"><cell r="M756" t="str"><v>PHg</v></cell><cell r="N756"><v>9</v></cell><cell r="O756" t="str"><v>HYG</v></cell></row><row r="757"><cell r="A757" t="str"><v>EPI.LAN</v></cell><cell r="B757" t="str"><v>Epilobium lanceolatum</v></cell></row><row r="757"><cell r="E757" t="str"><v>Sebast. & Mauri    </v></cell></row><row r="757"><cell r="M757" t="str"><v>PHg</v></cell><cell r="N757"><v>9</v></cell><cell r="O757" t="str"><v>HYG</v></cell></row><row r="758"><cell r="A758" t="str"><v>EPI.PAL</v></cell><cell r="B758" t="str"><v>Epilobium palustre</v></cell></row><row r="758"><cell r="E758" t="str"><v>L.      </v></cell></row><row r="758"><cell r="M758" t="str"><v>PHg</v></cell><cell r="N758"><v>9</v></cell><cell r="O758" t="str"><v>HYG</v></cell></row><row r="759"><cell r="A759" t="str"><v>EPI.PAR</v></cell><cell r="B759" t="str"><v>Epilobium parviflorum</v></cell></row><row r="759"><cell r="E759" t="str"><v>Schreb.      </v></cell></row><row r="759"><cell r="M759" t="str"><v>PHg</v></cell><cell r="N759"><v>9</v></cell><cell r="O759" t="str"><v>HYG</v></cell></row><row r="760"><cell r="A760" t="str"><v>EPI.ROS</v></cell><cell r="B760" t="str"><v>Epilobium roseum</v></cell></row><row r="760"><cell r="E760" t="str"><v>Schreb.      </v></cell></row><row r="760"><cell r="M760" t="str"><v>PHg</v></cell><cell r="N760"><v>9</v></cell><cell r="O760" t="str"><v>HYG</v></cell></row><row r="761"><cell r="A761" t="str"><v>EPI.TET</v></cell><cell r="B761" t="str"><v>Epilobium tetragonum</v></cell></row><row r="761"><cell r="E761" t="str"><v>L.      </v></cell></row><row r="761"><cell r="M761" t="str"><v>PHg</v></cell><cell r="N761"><v>9</v></cell><cell r="O761" t="str"><v>HYG</v></cell></row><row r="762"><cell r="A762" t="str"><v>ERI.ANG</v></cell><cell r="B762" t="str"><v>Eriophorum angustifolium       </v></cell></row><row r="762"><cell r="E762" t="str"><v>Honckeny      </v></cell></row><row r="762"><cell r="M762" t="str"><v>PHg</v></cell><cell r="N762"><v>9</v></cell><cell r="O762" t="str"><v>HYG/HEL</v></cell></row><row r="763"><cell r="A763" t="str"><v>FAL.DUM</v></cell><cell r="B763" t="str"><v>Fallopia dumetorum        </v></cell></row><row r="763"><cell r="E763" t="str"><v>      </v></cell></row><row r="763"><cell r="M763" t="str"><v>PHg</v></cell><cell r="N763"><v>9</v></cell><cell r="O763" t="str"><v>HYG</v></cell></row><row r="764"><cell r="A764" t="str"><v>FIL.ULM</v></cell><cell r="B764" t="str"><v>Filipendula ulmaria</v></cell></row><row r="764"><cell r="E764" t="str"><v>(L.) Maxim.     </v></cell></row><row r="764"><cell r="M764" t="str"><v>PHg</v></cell><cell r="N764"><v>9</v></cell><cell r="O764" t="str"><v>HYG</v></cell></row><row r="765"><cell r="A765" t="str"><v>GAL.NEG</v></cell><cell r="B765" t="str"><v>Galium neglectum        </v></cell></row><row r="765"><cell r="E765" t="str"><v>      </v></cell></row><row r="765"><cell r="M765" t="str"><v>PHg</v></cell><cell r="N765"><v>9</v></cell><cell r="O765" t="str"><v>HYG</v></cell></row><row r="766"><cell r="A766" t="str"><v>GAL.PAL</v></cell><cell r="B766" t="str"><v>Galium palustre</v></cell></row><row r="766"><cell r="E766" t="str"><v>L.      </v></cell></row><row r="766"><cell r="M766" t="str"><v>PHg</v></cell><cell r="N766"><v>9</v></cell><cell r="O766" t="str"><v>HYG/HEL</v></cell></row><row r="767"><cell r="A767" t="str"><v>GAL.SPX</v></cell><cell r="B767" t="str"><v>Galium sp.</v></cell></row><row r="767"><cell r="E767" t="str"><v>      </v></cell></row><row r="767"><cell r="M767" t="str"><v>PHg</v></cell><cell r="N767"><v>9</v></cell><cell r="O767" t="str"><v>HYG/HEL</v></cell></row><row r="768"><cell r="A768" t="str"><v>GAL.TRI</v></cell><cell r="B768" t="str"><v>Galium trifidum        </v></cell></row><row r="768"><cell r="E768" t="str"><v>      </v></cell></row><row r="768"><cell r="M768" t="str"><v>PHg</v></cell><cell r="N768"><v>9</v></cell><cell r="O768" t="str"><v>HYG</v></cell></row><row r="769"><cell r="A769" t="str"><v>GAL.ULI</v></cell><cell r="B769" t="str"><v>Galium uliginosum</v></cell></row><row r="769"><cell r="E769" t="str"><v>L.      </v></cell></row><row r="769"><cell r="M769" t="str"><v>PHg</v></cell><cell r="N769"><v>9</v></cell><cell r="O769" t="str"><v>HYG</v></cell></row><row r="770"><cell r="A770" t="str"><v>GLE.HED</v></cell><cell r="B770" t="str"><v>Glechoma hederacea</v></cell></row><row r="770"><cell r="E770" t="str"><v>L.      </v></cell></row><row r="770"><cell r="M770" t="str"><v>PHg</v></cell><cell r="N770"><v>9</v></cell><cell r="O770" t="str"><v>HYG</v></cell></row><row r="771"><cell r="A771" t="str"><v>GNA.ULI</v></cell><cell r="B771" t="str"><v>Gnaphalium uliginosum</v></cell></row><row r="771"><cell r="E771" t="str"><v>L.      </v></cell></row><row r="771"><cell r="M771" t="str"><v>PHg</v></cell><cell r="N771"><v>9</v></cell><cell r="O771" t="str"><v>HYG</v></cell></row><row r="772"><cell r="A772" t="str"><v>GRA.OFF</v></cell><cell r="B772" t="str"><v>Gratiola officinalis        </v></cell></row><row r="772"><cell r="E772" t="str"><v>      </v></cell></row><row r="772"><cell r="M772" t="str"><v>PHg</v></cell><cell r="N772"><v>9</v></cell><cell r="O772" t="str"><v>HYG</v></cell></row><row r="773"><cell r="A773" t="str"><v>HOL.LAN</v></cell><cell r="B773" t="str"><v>Holcus lanatus</v></cell></row><row r="773"><cell r="E773" t="str"><v>L.      </v></cell></row><row r="773"><cell r="M773" t="str"><v>PHg</v></cell><cell r="N773"><v>9</v></cell><cell r="O773" t="str"><v>HYG</v></cell></row><row r="774"><cell r="A774" t="str"><v>HUM.LUP</v></cell><cell r="B774" t="str"><v>Humulus lupulus</v></cell></row><row r="774"><cell r="E774" t="str"><v>L.      </v></cell></row><row r="774"><cell r="M774" t="str"><v>PHg</v></cell><cell r="N774"><v>9</v></cell><cell r="O774" t="str"><v>HYG</v></cell></row><row r="775"><cell r="A775" t="str"><v>HYP.MAC</v></cell><cell r="B775" t="str"><v>Hypericum maculatum</v></cell></row><row r="775"><cell r="E775" t="str"><v>Crantz.      </v></cell></row><row r="775"><cell r="M775" t="str"><v>PHg</v></cell><cell r="N775"><v>9</v></cell><cell r="O775" t="str"><v>HYG</v></cell></row><row r="776"><cell r="A776" t="str"><v>IMP.GLA</v></cell><cell r="B776" t="str"><v>Impatiens glandulifera</v></cell></row><row r="776"><cell r="E776" t="str"><v>Royle      </v></cell></row><row r="776"><cell r="M776" t="str"><v>PHg</v></cell><cell r="N776"><v>9</v></cell><cell r="O776" t="str"><v>HYG</v></cell></row><row r="777"><cell r="A777" t="str"><v>IMP.NOL</v></cell><cell r="B777" t="str"><v>Impatiens noli-tangere</v></cell></row><row r="777"><cell r="E777" t="str"><v>L.      </v></cell></row><row r="777"><cell r="M777" t="str"><v>PHg</v></cell><cell r="N777"><v>9</v></cell><cell r="O777" t="str"><v>HYG</v></cell></row><row r="778"><cell r="A778" t="str"><v>JUN.ACU</v></cell><cell r="B778" t="str"><v>Juncus acutiflorus</v></cell></row><row r="778"><cell r="E778" t="str"><v>Ehrh. Ex Hoffm    </v></cell></row><row r="778"><cell r="M778" t="str"><v>PHg</v></cell><cell r="N778"><v>9</v></cell><cell r="O778" t="str"><v>HYG</v></cell></row><row r="779"><cell r="A779" t="str"><v>JUN.ALP</v></cell><cell r="B779" t="str"><v>Juncus alpinoarticulatus</v></cell></row><row r="779"><cell r="E779" t="str"><v>Chaix      </v></cell></row><row r="779"><cell r="M779" t="str"><v>PHg</v></cell><cell r="N779"><v>9</v></cell><cell r="O779" t="str"><v>HYG</v></cell></row><row r="780"><cell r="A780" t="str"><v>JUN.AMB</v></cell><cell r="B780" t="str"><v>Juncus ambiguus        </v></cell></row><row r="780"><cell r="E780" t="str"><v>      </v></cell></row><row r="780"><cell r="M780" t="str"><v>PHg</v></cell><cell r="N780"><v>9</v></cell><cell r="O780" t="str"><v>HYG</v></cell></row><row r="781"><cell r="A781" t="str"><v>JUN.ART</v></cell><cell r="B781" t="str"><v>Juncus articulatus</v></cell></row><row r="781"><cell r="E781" t="str"><v>L.      </v></cell></row><row r="781"><cell r="M781" t="str"><v>PHg</v></cell><cell r="N781"><v>9</v></cell><cell r="O781" t="str"><v>HYG</v></cell></row><row r="782"><cell r="A782" t="str"><v>JUN.BUF</v></cell><cell r="B782" t="str"><v>Juncus bufonius</v></cell></row><row r="782"><cell r="E782" t="str"><v>L.      </v></cell></row><row r="782"><cell r="M782" t="str"><v>PHg</v></cell><cell r="N782"><v>9</v></cell><cell r="O782" t="str"><v>HYG</v></cell></row><row r="783"><cell r="A783" t="str"><v>JUN.HET</v></cell><cell r="B783" t="str"><v>Juncus heterophyllus</v></cell></row><row r="783"><cell r="E783" t="str"><v>Dufour      </v></cell></row><row r="783"><cell r="M783" t="str"><v>PHg</v></cell><cell r="N783"><v>9</v></cell><cell r="O783" t="str"><v>HYG/HEL</v></cell></row><row r="784"><cell r="A784" t="str"><v>LAM.ALB</v></cell><cell r="B784" t="str"><v>Lamium album</v></cell></row><row r="784"><cell r="E784" t="str"><v>L.      </v></cell></row><row r="784"><cell r="M784" t="str"><v>PHg</v></cell><cell r="N784"><v>9</v></cell><cell r="O784" t="str"><v>HYG</v></cell></row><row r="785"><cell r="A785" t="str"><v>LAM.MAC</v></cell><cell r="B785" t="str"><v>Lamium maculatum</v></cell></row><row r="785"><cell r="E785" t="str"><v>L.      </v></cell></row><row r="785"><cell r="M785" t="str"><v>PHg</v></cell><cell r="N785"><v>9</v></cell><cell r="O785" t="str"><v>HYG</v></cell></row><row r="786"><cell r="A786" t="str"><v>LEE.ORY</v></cell><cell r="B786" t="str"><v>Leersia oryzoïdes</v></cell></row><row r="786"><cell r="E786" t="str"><v>(L.) Schwartz     </v></cell></row><row r="786"><cell r="M786" t="str"><v>PHg</v></cell><cell r="N786"><v>9</v></cell><cell r="O786" t="str"><v>HYG</v></cell></row><row r="787"><cell r="A787" t="str"><v>LIM.AQU</v></cell><cell r="B787" t="str"><v>Limosella aquatica        </v></cell></row><row r="787"><cell r="E787" t="str"><v>      </v></cell></row><row r="787"><cell r="M787" t="str"><v>PHg</v></cell><cell r="N787"><v>9</v></cell><cell r="O787" t="str"><v>HYG/HEL</v></cell></row><row r="788"><cell r="A788" t="str"><v>LIM.AUS</v></cell><cell r="B788" t="str"><v>Limosella australis        </v></cell></row><row r="788"><cell r="E788" t="str"><v>      </v></cell></row><row r="788"><cell r="M788" t="str"><v>PHg</v></cell><cell r="N788"><v>9</v></cell><cell r="O788" t="str"><v>HYG/HEL</v></cell></row><row r="789"><cell r="A789" t="str"><v>LIN.DUB</v></cell><cell r="B789" t="str"><v>Lindernia dubia        </v></cell></row><row r="789"><cell r="E789" t="str"><v>      </v></cell></row><row r="789"><cell r="M789" t="str"><v>PHg</v></cell><cell r="N789"><v>9</v></cell><cell r="O789" t="str"><v>HYG/HEL</v></cell></row><row r="790"><cell r="A790" t="str"><v>LIN.PRO</v></cell><cell r="B790" t="str"><v>Lindernia procumbens        </v></cell></row><row r="790"><cell r="E790" t="str"><v>      </v></cell></row><row r="790"><cell r="M790" t="str"><v>PHg</v></cell><cell r="N790"><v>9</v></cell><cell r="O790" t="str"><v>HYG/HEL</v></cell></row><row r="791"><cell r="A791" t="str"><v>LOT.PED</v></cell><cell r="B791" t="str"><v>Lotus pedunculatus (Lotus uliginosus)</v></cell></row><row r="791"><cell r="E791" t="str"><v>      </v></cell><cell r="F791" t="str"><v>Lotus uliginosus Schkuhr</v></cell></row><row r="791"><cell r="M791" t="str"><v>PHg</v></cell><cell r="N791"><v>9</v></cell><cell r="O791" t="str"><v>HYG</v></cell></row><row r="792"><cell r="A792" t="str"><v>LYO.ESC</v></cell><cell r="B792" t="str"><v>Lycopersicon esculentum        </v></cell></row><row r="792"><cell r="E792" t="str"><v>      </v></cell></row><row r="792"><cell r="M792" t="str"><v>PHg</v></cell><cell r="N792"><v>9</v></cell><cell r="O792" t="str"><v>HYG</v></cell></row><row r="793"><cell r="A793" t="str"><v>MIM.GUT</v></cell><cell r="B793" t="str"><v>Mimulus guttatus</v></cell></row><row r="793"><cell r="E793" t="str"><v>DC      </v></cell></row><row r="793"><cell r="M793" t="str"><v>PHg</v></cell><cell r="N793"><v>9</v></cell><cell r="O793" t="str"><v>HYG</v></cell></row><row r="794"><cell r="A794" t="str"><v>MOL.CAE</v></cell><cell r="B794" t="str"><v>Molinia caerulea</v></cell></row><row r="794"><cell r="E794" t="str"><v>(L.) Moench     </v></cell></row><row r="794"><cell r="M794" t="str"><v>PHg</v></cell><cell r="N794"><v>9</v></cell><cell r="O794" t="str"><v>HYG</v></cell></row><row r="795"><cell r="A795" t="str"><v>MYS.AQU</v></cell><cell r="B795" t="str"><v>Myosoton aquaticum</v></cell></row><row r="795"><cell r="E795" t="str"><v>(L.) Moench     </v></cell></row><row r="795"><cell r="M795" t="str"><v>PHg</v></cell><cell r="N795"><v>9</v></cell><cell r="O795" t="str"><v>HYG</v></cell></row><row r="796"><cell r="A796" t="str"><v>ORY.SAT</v></cell><cell r="B796" t="str"><v>Oryza sativa        </v></cell></row><row r="796"><cell r="E796" t="str"><v>      </v></cell></row><row r="796"><cell r="M796" t="str"><v>PHg</v></cell><cell r="N796"><v>9</v></cell><cell r="O796" t="str"><v>HYG</v></cell></row><row r="797"><cell r="A797" t="str"><v>PAS.DIL</v></cell><cell r="B797" t="str"><v>Paspalum dilatatum        </v></cell></row><row r="797"><cell r="E797" t="str"><v>      </v></cell></row><row r="797"><cell r="M797" t="str"><v>PHg</v></cell><cell r="N797"><v>9</v></cell><cell r="O797" t="str"><v>HYG</v></cell></row><row r="798"><cell r="A798" t="str"><v>PAS.PAS</v></cell><cell r="B798" t="str"><v>Paspalum paspaloides        </v></cell></row><row r="798"><cell r="E798" t="str"><v>      </v></cell></row><row r="798"><cell r="M798" t="str"><v>PHg</v></cell><cell r="N798"><v>9</v></cell><cell r="O798" t="str"><v>HYG</v></cell></row><row r="799"><cell r="A799" t="str"><v>PAS.URV</v></cell><cell r="B799" t="str"><v>Paspalum urvillei        </v></cell></row><row r="799"><cell r="E799" t="str"><v>      </v></cell></row><row r="799"><cell r="M799" t="str"><v>PHg</v></cell><cell r="N799"><v>9</v></cell><cell r="O799" t="str"><v>HYG</v></cell></row><row r="800"><cell r="A800" t="str"><v>PAS.VAG</v></cell><cell r="B800" t="str"><v>Paspalum vaginatum        </v></cell></row><row r="800"><cell r="E800" t="str"><v>      </v></cell></row><row r="800"><cell r="M800" t="str"><v>PHg</v></cell><cell r="N800"><v>9</v></cell><cell r="O800" t="str"><v>HYG</v></cell></row><row r="801"><cell r="A801" t="str"><v>PET.HYB</v></cell><cell r="B801" t="str"><v>Petasites hybridus</v></cell></row><row r="801"><cell r="E801" t="str"><v>(L.) Gaertn.,Mey. & Scherb.   </v></cell></row><row r="801"><cell r="M801" t="str"><v>PHg</v></cell><cell r="N801"><v>9</v></cell><cell r="O801" t="str"><v>HYG</v></cell></row><row r="802"><cell r="A802" t="str"><v>PEU.PAL</v></cell><cell r="B802" t="str"><v>Peucedanum palustre</v></cell></row><row r="802"><cell r="E802" t="str"><v>(L.) Moench     </v></cell></row><row r="802"><cell r="M802" t="str"><v>PHg</v></cell><cell r="N802"><v>9</v></cell><cell r="O802" t="str"><v>HYG/HEL</v></cell></row><row r="803"><cell r="A803" t="str"><v>POA.ANN</v></cell><cell r="B803" t="str"><v>Poa annua</v></cell></row><row r="803"><cell r="E803" t="str"><v>L.      </v></cell></row><row r="803"><cell r="M803" t="str"><v>PHg</v></cell><cell r="N803"><v>9</v></cell><cell r="O803" t="str"><v>HYG</v></cell></row><row r="804"><cell r="A804" t="str"><v>POA.PAL</v></cell><cell r="B804" t="str"><v>Poa palustris</v></cell></row><row r="804"><cell r="E804" t="str"><v>L.      </v></cell></row><row r="804"><cell r="M804" t="str"><v>PHg</v></cell><cell r="N804"><v>9</v></cell><cell r="O804" t="str"><v>HYG</v></cell></row><row r="805"><cell r="A805" t="str"><v>POA.PRA</v></cell><cell r="B805" t="str"><v>Poa pratensis</v></cell></row><row r="805"><cell r="E805" t="str"><v>L.      </v></cell></row><row r="805"><cell r="M805" t="str"><v>PHg</v></cell><cell r="N805"><v>9</v></cell><cell r="O805" t="str"><v>HYG</v></cell></row><row r="806"><cell r="A806" t="str"><v>POA.SPX</v></cell><cell r="B806" t="str"><v>Poa sp.</v></cell></row><row r="806"><cell r="E806" t="str"><v>      </v></cell></row><row r="806"><cell r="M806" t="str"><v>PHg</v></cell><cell r="N806"><v>9</v></cell><cell r="O806" t="str"><v>HYG</v></cell></row><row r="807"><cell r="A807" t="str"><v>POA.TRI</v></cell><cell r="B807" t="str"><v>Poa trivialis</v></cell></row><row r="807"><cell r="E807" t="str"><v>L.      </v></cell></row><row r="807"><cell r="M807" t="str"><v>PHg</v></cell><cell r="N807"><v>9</v></cell><cell r="O807" t="str"><v>HYG</v></cell></row><row r="808"><cell r="A808" t="str"><v>POL.FOL</v></cell><cell r="B808" t="str"><v>Polygonum foliosa (Persicaria foliosa)</v></cell></row><row r="808"><cell r="E808" t="str"><v>      </v></cell><cell r="F808" t="str"><v>Persicaria foliosa</v></cell></row><row r="808"><cell r="M808" t="str"><v>PHg</v></cell><cell r="N808"><v>9</v></cell><cell r="O808" t="str"><v>HYG</v></cell></row><row r="809"><cell r="A809" t="str"><v>POL.LAP</v></cell><cell r="B809" t="str"><v>Polygonum lapathifolia (Persicaria lapathifolia)</v></cell></row><row r="809"><cell r="E809" t="str"><v>      </v></cell><cell r="F809" t="str"><v>Persicaria lapathifolia L. Gray</v></cell></row><row r="809"><cell r="M809" t="str"><v>PHg</v></cell><cell r="N809"><v>9</v></cell><cell r="O809" t="str"><v>HYG</v></cell></row><row r="810"><cell r="A810" t="str"><v>POL.MAC</v></cell><cell r="B810" t="str"><v>Polygonum maculosa (Persicaria maculosa)</v></cell></row><row r="810"><cell r="E810" t="str"><v>      </v></cell><cell r="F810" t="str"><v>Persicaria maculosa</v></cell></row><row r="810"><cell r="M810" t="str"><v>PHg</v></cell><cell r="N810"><v>9</v></cell><cell r="O810" t="str"><v>HYG</v></cell></row><row r="811"><cell r="A811" t="str"><v>POL.MIT</v></cell><cell r="B811" t="str"><v>Polygonum mite (Persicaria mitis)</v></cell></row><row r="811"><cell r="E811" t="str"><v>Schrank      </v></cell><cell r="F811" t="str"><v>Persicaria mitis Schrank</v></cell></row><row r="811"><cell r="M811" t="str"><v>PHg</v></cell><cell r="N811"><v>9</v></cell><cell r="O811" t="str"><v>HYG</v></cell></row><row r="812"><cell r="A812" t="str"><v>POL.SPX</v></cell><cell r="B812" t="str"><v>Polygonum sp.</v></cell></row><row r="812"><cell r="E812" t="str"><v>      </v></cell><cell r="F812" t="str"><v>Persicaria sp.</v></cell></row><row r="812"><cell r="M812" t="str"><v>PHg</v></cell><cell r="N812"><v>9</v></cell><cell r="O812" t="str"><v>HYG</v></cell></row><row r="813"><cell r="A813" t="str"><v>POE.ANS</v></cell><cell r="B813" t="str"><v>Potentiella anserina        </v></cell></row><row r="813"><cell r="E813" t="str"><v>(L.)      </v></cell></row><row r="813"><cell r="M813" t="str"><v>PHg</v></cell><cell r="N813"><v>9</v></cell><cell r="O813" t="str"><v>HYG</v></cell></row><row r="814"><cell r="A814" t="str"><v>POE.ERE</v></cell><cell r="B814" t="str"><v>Potentilla erecta</v></cell></row><row r="814"><cell r="E814" t="str"><v>(L.) Räuschel     </v></cell></row><row r="814"><cell r="M814" t="str"><v>PHg</v></cell><cell r="N814"><v>9</v></cell><cell r="O814" t="str"><v>HYG</v></cell></row><row r="815"><cell r="A815" t="str"><v>PUL.DYS</v></cell><cell r="B815" t="str"><v>Pulicaria dysenterica</v></cell></row><row r="815"><cell r="E815" t="str"><v>(L.) Bernh.     </v></cell></row><row r="815"><cell r="M815" t="str"><v>PHg</v></cell><cell r="N815"><v>9</v></cell><cell r="O815" t="str"><v>HYG</v></cell></row><row r="816"><cell r="A816" t="str"><v>RAN.REP</v></cell><cell r="B816" t="str"><v>Ranunculus repens</v></cell></row><row r="816"><cell r="E816" t="str"><v>L.      </v></cell></row><row r="816"><cell r="M816" t="str"><v>PHg</v></cell><cell r="N816"><v>9</v></cell><cell r="O816" t="str"><v>HYG</v></cell></row><row r="817"><cell r="A817" t="str"><v>RAN.RET</v></cell><cell r="B817" t="str"><v>Ranunculus reptans        </v></cell></row><row r="817"><cell r="E817" t="str"><v>      </v></cell></row><row r="817"><cell r="M817" t="str"><v>PHg</v></cell><cell r="N817"><v>9</v></cell><cell r="O817" t="str"><v>HYG</v></cell></row><row r="818"><cell r="A818" t="str"><v>RAN.SAR</v></cell><cell r="B818" t="str"><v>Ranunculus sardous</v></cell></row><row r="818"><cell r="E818" t="str"><v>Crantz      </v></cell></row><row r="818"><cell r="M818" t="str"><v>PHg</v></cell><cell r="N818"><v>9</v></cell><cell r="O818" t="str"><v>HYG</v></cell></row><row r="819"><cell r="A819" t="str"><v>RAN.SCE</v></cell><cell r="B819" t="str"><v>Ranunculus sceleratus</v></cell></row><row r="819"><cell r="E819" t="str"><v>L.      </v></cell></row><row r="819"><cell r="M819" t="str"><v>PHg</v></cell><cell r="N819"><v>9</v></cell><cell r="O819" t="str"><v>HYG</v></cell></row><row r="820"><cell r="A820" t="str"><v>RHN.RUG</v></cell><cell r="B820" t="str"><v>Rhynchospora rugosa        </v></cell></row><row r="820"><cell r="E820" t="str"><v>      </v></cell></row><row r="820"><cell r="M820" t="str"><v>PHg</v></cell><cell r="N820"><v>9</v></cell><cell r="O820" t="str"><v>HYG</v></cell></row><row r="821"><cell r="A821" t="str"><v>ROR.ISL</v></cell><cell r="B821" t="str"><v>Rorippa islandica</v></cell></row><row r="821"><cell r="E821" t="str"><v>(Oeder) Borbas     </v></cell></row><row r="821"><cell r="M821" t="str"><v>PHg</v></cell><cell r="N821"><v>9</v></cell><cell r="O821" t="str"><v>HYG</v></cell></row><row r="822"><cell r="A822" t="str"><v>RUM.AQU</v></cell><cell r="B822" t="str"><v>Rumex aquaticus</v></cell></row><row r="822"><cell r="E822" t="str"><v>L.      </v></cell></row><row r="822"><cell r="M822" t="str"><v>PHg</v></cell><cell r="N822"><v>9</v></cell><cell r="O822" t="str"><v>HYG</v></cell></row><row r="823"><cell r="A823" t="str"><v>RUM.CON</v></cell><cell r="B823" t="str"><v>Rumex conglomeratus</v></cell></row><row r="823"><cell r="E823" t="str"><v>Murray      </v></cell></row><row r="823"><cell r="M823" t="str"><v>PHg</v></cell><cell r="N823"><v>9</v></cell><cell r="O823" t="str"><v>HYG</v></cell></row><row r="824"><cell r="A824" t="str"><v>RUM.CRI</v></cell><cell r="B824" t="str"><v>Rumex crispus</v></cell></row><row r="824"><cell r="E824" t="str"><v>L.      </v></cell></row><row r="824"><cell r="M824" t="str"><v>PHg</v></cell><cell r="N824"><v>9</v></cell><cell r="O824" t="str"><v>HYG</v></cell></row><row r="825"><cell r="A825" t="str"><v>RUM.OBT</v></cell><cell r="B825" t="str"><v>Rumex obtusifolius</v></cell></row><row r="825"><cell r="E825" t="str"><v>L.      </v></cell></row><row r="825"><cell r="M825" t="str"><v>PHg</v></cell><cell r="N825"><v>9</v></cell><cell r="O825" t="str"><v>HYG</v></cell></row><row r="826"><cell r="A826" t="str"><v>RUM.SPX</v></cell><cell r="B826" t="str"><v>Rumex sp.</v></cell></row><row r="826"><cell r="E826" t="str"><v>      </v></cell></row><row r="826"><cell r="M826" t="str"><v>PHg</v></cell><cell r="N826"><v>9</v></cell><cell r="O826" t="str"><v>HYG</v></cell></row><row r="827"><cell r="A827" t="str"><v>SCE.PAL</v></cell><cell r="B827" t="str"><v>Scheuchzeria palustris        </v></cell></row><row r="827"><cell r="E827" t="str"><v>      </v></cell></row><row r="827"><cell r="M827" t="str"><v>PHg</v></cell><cell r="N827"><v>9</v></cell><cell r="O827" t="str"><v>HYG</v></cell></row><row r="828"><cell r="A828" t="str"><v>SCR.AUR</v></cell><cell r="B828" t="str"><v>Scrophularia auriculata</v></cell></row><row r="828"><cell r="E828" t="str"><v>L.      </v></cell></row><row r="828"><cell r="M828" t="str"><v>PHg</v></cell><cell r="N828"><v>9</v></cell><cell r="O828" t="str"><v>HYG/HEL</v></cell></row><row r="829"><cell r="A829" t="str"><v>SCR.NOD</v></cell><cell r="B829" t="str"><v>Scrophularia nodosa</v></cell></row><row r="829"><cell r="E829" t="str"><v>L.      </v></cell></row><row r="829"><cell r="M829" t="str"><v>PHg</v></cell><cell r="N829"><v>9</v></cell><cell r="O829" t="str"><v>HYG/HEL</v></cell></row><row r="830"><cell r="A830" t="str"><v>SCR.SPX</v></cell><cell r="B830" t="str"><v>Scrophularia sp.</v></cell></row><row r="830"><cell r="E830" t="str"><v>      </v></cell></row><row r="830"><cell r="M830" t="str"><v>PHg</v></cell><cell r="N830"><v>9</v></cell><cell r="O830" t="str"><v>HYG/HEL</v></cell></row><row r="831"><cell r="A831" t="str"><v>SCR.UMB</v></cell><cell r="B831" t="str"><v>Scrophularia umbrosa</v></cell></row><row r="831"><cell r="E831" t="str"><v>Dum.      </v></cell></row><row r="831"><cell r="M831" t="str"><v>PHg</v></cell><cell r="N831"><v>9</v></cell><cell r="O831" t="str"><v>HYG/HEL</v></cell></row><row r="832"><cell r="A832" t="str"><v>SCU.GAL</v></cell><cell r="B832" t="str"><v>Scutellaria galericulata</v></cell></row><row r="832"><cell r="E832" t="str"><v>L.      </v></cell></row><row r="832"><cell r="M832" t="str"><v>PHg</v></cell><cell r="N832"><v>9</v></cell><cell r="O832" t="str"><v>HYG/HEL</v></cell></row><row r="833"><cell r="A833" t="str"><v>SEN.AQU</v></cell><cell r="B833" t="str"><v>Senecio aquaticus</v></cell></row><row r="833"><cell r="E833" t="str"><v>Hill.      </v></cell></row><row r="833"><cell r="M833" t="str"><v>PHg</v></cell><cell r="N833"><v>9</v></cell><cell r="O833" t="str"><v>HYG/HEL</v></cell></row><row r="834"><cell r="A834" t="str"><v>SEN.SPX</v></cell><cell r="B834" t="str"><v>Senecio sp.        </v></cell></row><row r="834"><cell r="E834" t="str"><v>      </v></cell></row><row r="834"><cell r="M834" t="str"><v>PHg</v></cell><cell r="N834"><v>9</v></cell><cell r="O834" t="str"><v>HYG/HEL</v></cell></row><row r="835"><cell r="A835" t="str"><v>SIU.LAT</v></cell><cell r="B835" t="str"><v>Sium latifolium</v></cell></row><row r="835"><cell r="E835" t="str"><v>L.      </v></cell></row><row r="835"><cell r="M835" t="str"><v>PHg</v></cell><cell r="N835"><v>9</v></cell><cell r="O835" t="str"><v>HYG/HEL</v></cell></row><row r="836"><cell r="A836" t="str"><v>SIU.SPX</v></cell><cell r="B836" t="str"><v>Sium sp.</v></cell></row><row r="836"><cell r="E836" t="str"><v>      </v></cell></row><row r="836"><cell r="M836" t="str"><v>PHg</v></cell><cell r="N836"><v>9</v></cell><cell r="O836" t="str"><v>HYG/HEL</v></cell></row><row r="837"><cell r="A837" t="str"><v>SOA.DUL</v></cell><cell r="B837" t="str"><v>Solanum dulcamara</v></cell></row><row r="837"><cell r="E837" t="str"><v>L.      </v></cell></row><row r="837"><cell r="M837" t="str"><v>PHg</v></cell><cell r="N837"><v>9</v></cell><cell r="O837" t="str"><v>HYG/HEL</v></cell></row><row r="838"><cell r="A838" t="str"><v>STA.SYL</v></cell><cell r="B838" t="str"><v>Stachys sylvatica</v></cell></row><row r="838"><cell r="E838" t="str"><v>L.      </v></cell></row><row r="838"><cell r="M838" t="str"><v>PHg</v></cell><cell r="N838"><v>9</v></cell><cell r="O838" t="str"><v>HYG</v></cell></row><row r="839"><cell r="A839" t="str"><v>STE.ULI</v></cell><cell r="B839" t="str"><v>Stellaria uliginosa        </v></cell></row><row r="839"><cell r="E839" t="str"><v>      </v></cell></row><row r="839"><cell r="M839" t="str"><v>PHg</v></cell><cell r="N839"><v>9</v></cell><cell r="O839" t="str"><v>HYG/HEL</v></cell></row><row r="840"><cell r="A840" t="str"><v>SYM.OFF</v></cell><cell r="B840" t="str"><v>Symphytum officinale</v></cell></row><row r="840"><cell r="E840" t="str"><v>L.      </v></cell></row><row r="840"><cell r="M840" t="str"><v>PHg</v></cell><cell r="N840"><v>9</v></cell><cell r="O840" t="str"><v>HYG</v></cell></row><row r="841"><cell r="A841" t="str"><v>TEU.SCO</v></cell><cell r="B841" t="str"><v>Teucrium scordium</v></cell></row><row r="841"><cell r="E841" t="str"><v>L.      </v></cell></row><row r="841"><cell r="M841" t="str"><v>PHg</v></cell><cell r="N841"><v>9</v></cell><cell r="O841" t="str"><v>HYG</v></cell></row><row r="842"><cell r="A842" t="str"><v>THL.FLA</v></cell><cell r="B842" t="str"><v>Thalictrum flavum</v></cell></row><row r="842"><cell r="E842" t="str"><v>L.      </v></cell></row><row r="842"><cell r="M842" t="str"><v>PHg</v></cell><cell r="N842"><v>9</v></cell><cell r="O842" t="str"><v>HYG</v></cell></row><row r="843"><cell r="A843" t="str"><v>URT.DIO</v></cell><cell r="B843" t="str"><v>Urtica dioica</v></cell></row><row r="843"><cell r="E843" t="str"><v>L.      </v></cell></row><row r="843"><cell r="M843" t="str"><v>PHg</v></cell><cell r="N843"><v>9</v></cell><cell r="O843" t="str"><v>HYG</v></cell></row><row r="844"><cell r="A844" t="str"><v>VAE.OFF</v></cell><cell r="B844" t="str"><v>Valerina officinalis</v></cell></row><row r="844"><cell r="E844" t="str"><v>L.      </v></cell></row><row r="844"><cell r="M844" t="str"><v>PHg</v></cell><cell r="N844"><v>9</v></cell><cell r="O844" t="str"><v>HYG</v></cell></row><row r="845"><cell r="A845" t="str"><v>VER.ANO</v></cell><cell r="B845" t="str"><v>Veronica anagalloides</v></cell></row><row r="845"><cell r="E845" t="str"><v>Guss      </v></cell></row><row r="845"><cell r="M845" t="str"><v>PHg</v></cell><cell r="N845"><v>9</v></cell><cell r="O845" t="str"><v>HYG/HEL</v></cell></row><row r="846"><cell r="A846" t="str"><v>VER.SCU</v></cell><cell r="B846" t="str"><v>Veronica scutellata</v></cell></row><row r="846"><cell r="E846" t="str"><v>L.      </v></cell></row><row r="846"><cell r="M846" t="str"><v>PHg</v></cell><cell r="N846"><v>9</v></cell><cell r="O846" t="str"><v>HYG</v></cell></row><row r="847"><cell r="A847" t="str"><v>VER.SPX</v></cell><cell r="B847" t="str"><v>Veronica sp.</v></cell></row><row r="847"><cell r="E847" t="str"><v>      </v></cell></row><row r="847"><cell r="M847" t="str"><v>PHg</v></cell><cell r="N847"><v>9</v></cell><cell r="O847" t="str"><v>HYG</v></cell></row><row r="848"><cell r="A848" t="str"><v>VIO.PAL</v></cell><cell r="B848" t="str"><v>Viola palustris        </v></cell></row><row r="848"><cell r="E848" t="str"><v>      </v></cell></row><row r="848"><cell r="M848" t="str"><v>PHg</v></cell><cell r="N848"><v>9</v></cell><cell r="O848" t="str"><v>HYG</v></cell></row><row r="849"><cell r="A849" t="str"><v>VIO.SPX</v></cell><cell r="B849" t="str"><v>Viola sp.</v></cell></row><row r="849"><cell r="E849" t="str"><v>      </v></cell></row><row r="849"><cell r="M849" t="str"><v>PHg</v></cell><cell r="N849"><v>9</v></cell><cell r="O849" t="str"><v>HYG</v></cell></row><row r="850"><cell r="B850" t="str"><v>- AUTRES PHANEROGAMES</v></cell></row><row r="850"><cell r="E850" t="str"><v>      </v></cell></row><row r="850"><cell r="M850" t="str"><v>PHx</v></cell><cell r="N850"><v>9.9</v></cell></row><row r="851"><cell r="A851" t="str"><v>ALI.WAH</v></cell><cell r="B851" t="str"><v>Alisma wahlenbergii        </v></cell></row><row r="851"><cell r="E851" t="str"><v>      </v></cell></row><row r="851"><cell r="M851" t="str"><v>PHx</v></cell><cell r="N851"><v>10</v></cell></row><row r="852"><cell r="A852" t="str"><v>BAL.ALP</v></cell><cell r="B852" t="str"><v>Baldellia alpestris        </v></cell></row><row r="852"><cell r="E852" t="str"><v>      </v></cell></row><row r="852"><cell r="M852" t="str"><v>PHx</v></cell><cell r="N852"><v>10</v></cell></row><row r="853"><cell r="A853" t="str"><v>BEC.ERU</v></cell><cell r="B853" t="str"><v>Beckmannia eruciformis        </v></cell></row><row r="853"><cell r="E853" t="str"><v>      </v></cell></row><row r="853"><cell r="M853" t="str"><v>PHx</v></cell><cell r="N853"><v>10</v></cell></row><row r="854"><cell r="A854" t="str"><v>BEC.SYZ</v></cell><cell r="B854" t="str"><v>Beckmannia syzigachne        </v></cell></row><row r="854"><cell r="E854" t="str"><v>      </v></cell></row><row r="854"><cell r="M854" t="str"><v>PHx</v></cell><cell r="N854"><v>10</v></cell></row><row r="855"><cell r="A855" t="str"><v>CAR.BUE</v></cell><cell r="B855" t="str"><v>Carex buekii</v></cell></row><row r="855"><cell r="E855" t="str"><v>Wimm.      </v></cell></row><row r="855"><cell r="M855" t="str"><v>PHx</v></cell><cell r="N855"><v>10</v></cell></row><row r="856"><cell r="A856" t="str"><v>CAR.DIA</v></cell><cell r="B856" t="str"><v>Carex diandra        </v></cell></row><row r="856"><cell r="E856" t="str"><v>      </v></cell></row><row r="856"><cell r="M856" t="str"><v>PHx</v></cell><cell r="N856"><v>10</v></cell></row><row r="857"><cell r="A857" t="str"><v>CAR.HAL</v></cell><cell r="B857" t="str"><v>Carex halophila        </v></cell></row><row r="857"><cell r="E857" t="str"><v>      </v></cell></row><row r="857"><cell r="M857" t="str"><v>PHx</v></cell><cell r="N857"><v>10</v></cell></row><row r="858"><cell r="A858" t="str"><v>CAR.REC</v></cell><cell r="B858" t="str"><v>Carex recta        </v></cell></row><row r="858"><cell r="E858" t="str"><v>      </v></cell></row><row r="858"><cell r="M858" t="str"><v>PHx</v></cell><cell r="N858"><v>10</v></cell></row><row r="859"><cell r="A859" t="str"><v>CIS.ARV</v></cell><cell r="B859" t="str"><v>Cirsium arvense</v></cell></row><row r="859"><cell r="E859" t="str"><v>(L.) Scop.     </v></cell></row><row r="859"><cell r="M859" t="str"><v>PHx</v></cell><cell r="N859"><v>10</v></cell></row><row r="860"><cell r="A860" t="str"><v>COI.LAC</v></cell><cell r="B860" t="str"><v>Coix lacryma-jobi        </v></cell></row><row r="860"><cell r="E860" t="str"><v>      </v></cell></row><row r="860"><cell r="M860" t="str"><v>PHx</v></cell><cell r="N860"><v>10</v></cell></row><row r="861"><cell r="A861" t="str"><v>DAM.BOU</v></cell><cell r="B861" t="str"><v>Damasonium bourgaei        </v></cell></row><row r="861"><cell r="E861" t="str"><v>      </v></cell></row><row r="861"><cell r="M861" t="str"><v>PHx</v></cell><cell r="N861"><v>10</v></cell></row><row r="862"><cell r="A862" t="str"><v>DAM.POL</v></cell><cell r="B862" t="str"><v>Damasonium polyspermum</v></cell></row><row r="862"><cell r="E862" t="str"><v>Cosson      </v></cell></row><row r="862"><cell r="M862" t="str"><v>PHx</v></cell><cell r="N862"><v>10</v></cell></row><row r="863"><cell r="A863" t="str"><v>ECL.PRO</v></cell><cell r="B863" t="str"><v>Eclipta prostrata        </v></cell></row><row r="863"><cell r="E863" t="str"><v>      </v></cell></row><row r="863"><cell r="M863" t="str"><v>PHx</v></cell><cell r="N863"><v>10</v></cell></row><row r="864"><cell r="A864" t="str"><v>ELE.MAM</v></cell><cell r="B864" t="str"><v>Eleocharis mamillata        </v></cell></row><row r="864"><cell r="E864" t="str"><v>      </v></cell></row><row r="864"><cell r="M864" t="str"><v>PHx</v></cell><cell r="N864"><v>10</v></cell></row><row r="865"><cell r="A865" t="str"><v>ELE.QUI</v></cell><cell r="B865" t="str"><v>Eleocharis quinqueflora</v></cell></row><row r="865"><cell r="E865" t="str"><v>(F. X. Hartman) O. Schwarz  </v></cell></row><row r="865"><cell r="M865" t="str"><v>PHx</v></cell><cell r="N865"><v>10</v></cell></row><row r="866"><cell r="A866" t="str"><v>ELE.STR</v></cell><cell r="B866" t="str"><v>Eleocharis striatulus</v></cell></row><row r="866"><cell r="E866" t="str"><v>Desv.      </v></cell></row><row r="866"><cell r="M866" t="str"><v>PHx</v></cell><cell r="N866"><v>10</v></cell></row><row r="867"><cell r="A867" t="str"><v>ERI.AQU</v></cell><cell r="B867" t="str"><v>Eriocaulon aquaticum        </v></cell></row><row r="867"><cell r="E867" t="str"><v>      </v></cell></row><row r="867"><cell r="M867" t="str"><v>PHx</v></cell><cell r="N867"><v>10</v></cell></row><row r="868"><cell r="A868" t="str"><v>ERI.CIN</v></cell><cell r="B868" t="str"><v>Eriocaulon cinereum        </v></cell></row><row r="868"><cell r="E868" t="str"><v>      </v></cell></row><row r="868"><cell r="M868" t="str"><v>PHx</v></cell><cell r="N868"><v>10</v></cell></row><row r="869"><cell r="A869" t="str"><v>GAL.APA</v></cell><cell r="B869" t="str"><v>Galium aparine</v></cell></row><row r="869"><cell r="E869" t="str"><v>L.      </v></cell></row><row r="869"><cell r="M869" t="str"><v>PHx</v></cell><cell r="N869"><v>10</v></cell><cell r="O869" t="str"><v>NA</v></cell></row><row r="870"><cell r="A870" t="str"><v>GAL.MOL</v></cell><cell r="B870" t="str"><v>Galium mollugo</v></cell></row><row r="870"><cell r="E870" t="str"><v>L.      </v></cell></row><row r="870"><cell r="M870" t="str"><v>PHx</v></cell><cell r="N870"><v>10</v></cell><cell r="O870" t="str"><v>NA</v></cell></row><row r="871"><cell r="A871" t="str"><v>GLY.PED</v></cell><cell r="B871" t="str"><v>Glyceria x pedicellata       </v></cell></row><row r="871"><cell r="E871" t="str"><v>      </v></cell></row><row r="871"><cell r="M871" t="str"><v>PHx</v></cell><cell r="N871"><v>10</v></cell></row><row r="872"><cell r="A872" t="str"><v>HEM.ALT</v></cell><cell r="B872" t="str"><v>Hemarthria altissima        </v></cell></row><row r="872"><cell r="E872" t="str"><v>      </v></cell></row><row r="872"><cell r="M872" t="str"><v>PHx</v></cell><cell r="N872"><v>10</v></cell></row><row r="873"><cell r="A873" t="str"><v>HIP.TET</v></cell><cell r="B873" t="str"><v>Hippuris tetraphylla        </v></cell></row><row r="873"><cell r="E873" t="str"><v>      </v></cell></row><row r="873"><cell r="M873" t="str"><v>PHx</v></cell><cell r="N873"><v>10</v></cell></row><row r="874"><cell r="A874" t="str"><v>IRI.SIN</v></cell><cell r="B874" t="str"><v>Iris sintenisii subsp. brandzae      </v></cell></row><row r="874"><cell r="E874" t="str"><v>      </v></cell></row><row r="874"><cell r="M874" t="str"><v>PHx</v></cell><cell r="N874"><v>10</v></cell></row><row r="875"><cell r="A875" t="str"><v>IRI.SPU</v></cell><cell r="B875" t="str"><v>Iris spuria        </v></cell></row><row r="875"><cell r="E875" t="str"><v>      </v></cell></row><row r="875"><cell r="M875" t="str"><v>PHx</v></cell><cell r="N875"><v>10</v></cell></row><row r="876"><cell r="A876" t="str"><v>IRI.VER</v></cell><cell r="B876" t="str"><v>Iris versicolor        </v></cell></row><row r="876"><cell r="E876" t="str"><v>      </v></cell></row><row r="876"><cell r="M876" t="str"><v>PHx</v></cell><cell r="N876"><v>10</v></cell></row><row r="877"><cell r="A877" t="str"><v>ISL.CER</v></cell><cell r="B877" t="str"><v>Isolepis cernua (Scirpus cermuus)</v></cell></row><row r="877"><cell r="E877" t="str"><v>      </v></cell><cell r="F877" t="str"><v>Scirpus cernuus</v></cell></row><row r="877"><cell r="M877" t="str"><v>PHx</v></cell><cell r="N877"><v>10</v></cell></row><row r="878"><cell r="A878" t="str"><v>ISL.SET</v></cell><cell r="B878" t="str"><v>Isolepis setacea (Scirpus setaccus)</v></cell></row><row r="878"><cell r="E878" t="str"><v>      </v></cell><cell r="F878" t="str"><v>Scirpus setaccus</v></cell></row><row r="878"><cell r="M878" t="str"><v>PHx</v></cell><cell r="N878"><v>10</v></cell></row><row r="879"><cell r="A879" t="str"><v>JUN.ATR</v></cell><cell r="B879" t="str"><v>Juncus atratus</v></cell></row><row r="879"><cell r="E879" t="str"><v>Krock.      </v></cell></row><row r="879"><cell r="M879" t="str"><v>PHx</v></cell><cell r="N879"><v>10</v></cell></row><row r="880"><cell r="A880" t="str"><v>LIA.ATT</v></cell><cell r="B880" t="str"><v>Lilaeopsis attenuata        </v></cell></row><row r="880"><cell r="E880" t="str"><v>      </v></cell></row><row r="880"><cell r="M880" t="str"><v>PHx</v></cell><cell r="N880"><v>10</v></cell></row><row r="881"><cell r="A881" t="str"><v>MOL.ARU</v></cell><cell r="B881" t="str"><v>Molinia arundinacea</v></cell></row><row r="881"><cell r="E881" t="str"><v>Schrank      </v></cell></row><row r="881"><cell r="M881" t="str"><v>PHx</v></cell><cell r="N881"><v>10</v></cell></row><row r="882"><cell r="A882" t="str"><v>MYI.GAL</v></cell><cell r="B882" t="str"><v>Myrica gale        </v></cell></row><row r="882"><cell r="E882" t="str"><v>      </v></cell></row><row r="882"><cell r="M882" t="str"><v>PHx</v></cell><cell r="N882"><v>10</v></cell><cell r="O882" t="str"><v>NA</v></cell></row><row r="883"><cell r="A883" t="str"><v>OTT.ALI</v></cell><cell r="B883" t="str"><v>Ottelia alismoides        </v></cell></row><row r="883"><cell r="E883" t="str"><v>      </v></cell></row><row r="883"><cell r="M883" t="str"><v>PHx</v></cell><cell r="N883"><v>10</v></cell></row><row r="884"><cell r="A884" t="str"><v>OXA.ACE</v></cell><cell r="B884" t="str"><v>Oxalis acetosella</v></cell></row><row r="884"><cell r="E884" t="str"><v>L.      </v></cell></row><row r="884"><cell r="M884" t="str"><v>PHx</v></cell><cell r="N884"><v>10</v></cell><cell r="O884" t="str"><v>NA</v></cell></row><row r="885"><cell r="A885" t="str"><v>PHC.DIG</v></cell><cell r="B885" t="str"><v>Phacelurus digitatus        </v></cell></row><row r="885"><cell r="E885" t="str"><v>      </v></cell></row><row r="885"><cell r="M885" t="str"><v>PHx</v></cell><cell r="N885"><v>10</v></cell></row><row r="886"><cell r="A886" t="str"><v>PLU.SAB</v></cell><cell r="B886" t="str"><v>Pleuropogon sabinei        </v></cell></row><row r="886"><cell r="E886" t="str"><v>      </v></cell></row><row r="886"><cell r="M886" t="str"><v>PHx</v></cell><cell r="N886"><v>10</v></cell></row><row r="887"><cell r="A887" t="str"><v>RAN.HYP</v></cell><cell r="B887" t="str"><v>Ranunculus hyperboreus        </v></cell></row><row r="887"><cell r="E887" t="str"><v>      </v></cell></row><row r="887"><cell r="M887" t="str"><v>PHx</v></cell><cell r="N887"><v>10</v></cell></row><row r="888"><cell r="A888" t="str"><v>RAN.POL</v></cell><cell r="B888" t="str"><v>Ranunculus polyphyllus        </v></cell></row><row r="888"><cell r="E888" t="str"><v>      </v></cell></row><row r="888"><cell r="M888" t="str"><v>PHx</v></cell><cell r="N888"><v>10</v></cell></row><row r="889"><cell r="A889" t="str"><v>RAN.SPH</v></cell><cell r="B889" t="str"><v>Ranunculus sphaerosphermus        </v></cell></row><row r="889"><cell r="E889" t="str"><v>      </v></cell></row><row r="889"><cell r="M889" t="str"><v>PHx</v></cell><cell r="N889"><v>10</v></cell></row><row r="890"><cell r="A890" t="str"><v>ROR.PAL</v></cell><cell r="B890" t="str"><v>Rorippa palustris</v></cell></row><row r="890"><cell r="E890" t="str"><v>(L.) Besser     </v></cell></row><row r="890"><cell r="M890" t="str"><v>PHx</v></cell><cell r="N890"><v>10</v></cell></row><row r="891"><cell r="A891" t="str"><v>ROR.ANC</v></cell><cell r="B891" t="str"><v>Rorippa x anceps       </v></cell></row><row r="891"><cell r="E891" t="str"><v>      </v></cell></row><row r="891"><cell r="M891" t="str"><v>PHx</v></cell><cell r="N891"><v>10</v></cell></row><row r="892"><cell r="A892" t="str"><v>ROR.STE</v></cell><cell r="B892" t="str"><v>Rorippa x sterilis       </v></cell></row><row r="892"><cell r="E892" t="str"><v>      </v></cell></row><row r="892"><cell r="M892" t="str"><v>PHx</v></cell><cell r="N892"><v>10</v></cell></row><row r="893"><cell r="A893" t="str"><v>RUM.PAL</v></cell><cell r="B893" t="str"><v>Rumex palustris</v></cell></row><row r="893"><cell r="E893" t="str"><v>Sm.      </v></cell></row><row r="893"><cell r="M893" t="str"><v>PHx</v></cell><cell r="N893"><v>10</v></cell></row><row r="894"><cell r="A894" t="str"><v>SAC.RAV</v></cell><cell r="B894" t="str"><v>Saccharum ravennae        </v></cell></row><row r="894"><cell r="E894" t="str"><v>      </v></cell></row><row r="894"><cell r="M894" t="str"><v>PHx</v></cell><cell r="N894"><v>10</v></cell></row><row r="895"><cell r="A895" t="str"><v>SAC.SPO</v></cell><cell r="B895" t="str"><v>Saccharum spontaneum        </v></cell></row><row r="895"><cell r="E895" t="str"><v>      </v></cell></row><row r="895"><cell r="M895" t="str"><v>PHx</v></cell><cell r="N895"><v>10</v></cell></row><row r="896"><cell r="A896" t="str"><v>SAI.PRO</v></cell><cell r="B896" t="str"><v>Sagina procumbens</v></cell></row><row r="896"><cell r="E896" t="str"><v>L.      </v></cell></row><row r="896"><cell r="M896" t="str"><v>PHx</v></cell><cell r="N896"><v>10</v></cell></row><row r="897"><cell r="A897" t="str"><v>SCI.MAR</v></cell><cell r="B897" t="str"><v>Scirpus maritimus</v></cell></row><row r="897"><cell r="E897" t="str"><v>L.      </v></cell></row><row r="897"><cell r="M897" t="str"><v>PHx</v></cell><cell r="N897"><v>10</v></cell></row><row r="898"><cell r="A898" t="str"><v>SCO.FES</v></cell><cell r="B898" t="str"><v>Scolochloa festucacea        </v></cell></row><row r="898"><cell r="E898" t="str"><v>      </v></cell></row><row r="898"><cell r="M898" t="str"><v>PHx</v></cell><cell r="N898"><v>10</v></cell></row><row r="899"><cell r="A899" t="str"><v>SIB.EUR</v></cell><cell r="B899" t="str"><v>Sibthorpia europaea</v></cell></row><row r="899"><cell r="E899" t="str"><v>L.      </v></cell></row><row r="899"><cell r="M899" t="str"><v>PHx</v></cell><cell r="N899"><v>10</v></cell></row><row r="900"><cell r="A900" t="str"><v>SPA.GLO</v></cell><cell r="B900" t="str"><v>Sparganium glomeratum        </v></cell></row><row r="900"><cell r="E900" t="str"><v>      </v></cell></row><row r="900"><cell r="M900" t="str"><v>PHx</v></cell><cell r="N900"><v>10</v></cell></row><row r="901"><cell r="A901" t="str"><v>SPA.GRA</v></cell><cell r="B901" t="str"><v>Sparganium gramineum        </v></cell></row><row r="901"><cell r="E901" t="str"><v>      </v></cell></row><row r="901"><cell r="M901" t="str"><v>PHx</v></cell><cell r="N901"><v>10</v></cell></row><row r="902"><cell r="A902" t="str"><v>SPA.HYP</v></cell><cell r="B902" t="str"><v>Sparganium hyperboreum        </v></cell></row><row r="902"><cell r="E902" t="str"><v>      </v></cell></row><row r="902"><cell r="M902" t="str"><v>PHx</v></cell><cell r="N902"><v>10</v></cell></row><row r="903"><cell r="A903" t="str"><v>SPA.NAT</v></cell><cell r="B903" t="str"><v>Sparganium natans</v></cell></row><row r="903"><cell r="E903" t="str"><v>L.      </v></cell></row><row r="903"><cell r="M903" t="str"><v>PHx</v></cell><cell r="N903"><v>10</v></cell></row><row r="904"><cell r="A904" t="str"><v>STE.PAL</v></cell><cell r="B904" t="str"><v>Stellaria palustris        </v></cell></row><row r="904"><cell r="E904" t="str"><v>      </v></cell></row><row r="904"><cell r="M904" t="str"><v>PHx</v></cell><cell r="N904"><v>10</v></cell></row><row r="905"><cell r="A905" t="str"><v>VER.FIL</v></cell><cell r="B905" t="str"><v>Veronica filiformis</v></cell></row><row r="905"><cell r="E905" t="str"><v>Sm.      </v></cell></row><row r="905"><cell r="M905" t="str"><v>PHx</v></cell><cell r="N905"><v>10</v></cell></row><row r="906"><cell r="A906" t="str"><v>VER.LAC</v></cell><cell r="B906" t="str"><v>Veronica x lackschewitzii       </v></cell></row><row r="906"><cell r="E906" t="str"><v>      </v></cell></row><row r="906"><cell r="M906" t="str"><v>PHx</v></cell><cell r="N906"><v>10</v></cell></row></sheetData><sheetData sheetId="3"></sheetData><sheetData sheetId="4"></sheetData><sheetData sheetId="5"></sheetData><sheetData sheetId="6"></sheetData><sheetData sheetId="7"></sheetData></sheetDataSet></externalBook></externalLink>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BB94"/>
  <sheetViews>
    <sheetView showFormulas="false" showGridLines="true" showRowColHeaders="fals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1.41796875" defaultRowHeight="12.75" zeroHeight="false" outlineLevelRow="0" outlineLevelCol="0"/>
  <cols>
    <col collapsed="false" customWidth="true" hidden="false" outlineLevel="0" max="1" min="1" style="1" width="18.56"/>
    <col collapsed="false" customWidth="true" hidden="false" outlineLevel="0" max="2" min="2" style="1" width="9.7"/>
    <col collapsed="false" customWidth="true" hidden="false" outlineLevel="0" max="3" min="3" style="1" width="9.41"/>
    <col collapsed="false" customWidth="true" hidden="true" outlineLevel="0" max="4" min="4" style="1" width="9.41"/>
    <col collapsed="false" customWidth="true" hidden="true" outlineLevel="0" max="5" min="5" style="1" width="8.99"/>
    <col collapsed="false" customWidth="true" hidden="false" outlineLevel="0" max="6" min="6" style="1" width="7.14"/>
    <col collapsed="false" customWidth="true" hidden="false" outlineLevel="0" max="7" min="7" style="1" width="5.56"/>
    <col collapsed="false" customWidth="true" hidden="true" outlineLevel="0" max="8" min="8" style="2" width="3.14"/>
    <col collapsed="false" customWidth="true" hidden="false" outlineLevel="0" max="9" min="9" style="1" width="3.14"/>
    <col collapsed="false" customWidth="true" hidden="false" outlineLevel="0" max="10" min="10" style="1" width="2.42"/>
    <col collapsed="false" customWidth="true" hidden="false" outlineLevel="0" max="11" min="11" style="1" width="8.99"/>
    <col collapsed="false" customWidth="true" hidden="false" outlineLevel="0" max="12" min="12" style="1" width="6.28"/>
    <col collapsed="false" customWidth="true" hidden="false" outlineLevel="0" max="13" min="13" style="1" width="8.7"/>
    <col collapsed="false" customWidth="true" hidden="false" outlineLevel="0" max="14" min="14" style="1" width="8.85"/>
    <col collapsed="false" customWidth="true" hidden="false" outlineLevel="0" max="15" min="15" style="1" width="8.99"/>
    <col collapsed="false" customWidth="true" hidden="true" outlineLevel="0" max="17" min="16" style="2" width="8.7"/>
    <col collapsed="false" customWidth="true" hidden="true" outlineLevel="0" max="18" min="18" style="2" width="6.99"/>
    <col collapsed="false" customWidth="true" hidden="true" outlineLevel="0" max="19" min="19" style="2" width="4.85"/>
    <col collapsed="false" customWidth="true" hidden="true" outlineLevel="0" max="21" min="20" style="2" width="3.14"/>
    <col collapsed="false" customWidth="true" hidden="false" outlineLevel="0" max="22" min="22" style="1" width="15.13"/>
    <col collapsed="false" customWidth="true" hidden="false" outlineLevel="0" max="23" min="23" style="1" width="15.41"/>
    <col collapsed="false" customWidth="false" hidden="true" outlineLevel="0" max="25" min="24" style="1" width="11.42"/>
    <col collapsed="false" customWidth="true" hidden="false" outlineLevel="0" max="26" min="26" style="2" width="6.28"/>
    <col collapsed="false" customWidth="true" hidden="false" outlineLevel="0" max="27" min="27" style="1" width="36.28"/>
    <col collapsed="false" customWidth="true" hidden="false" outlineLevel="0" max="28" min="28" style="1" width="11.99"/>
    <col collapsed="false" customWidth="false" hidden="false" outlineLevel="0" max="257" min="29" style="1" width="11.42"/>
  </cols>
  <sheetData>
    <row r="1" customFormat="false" ht="15.75" hidden="false" customHeight="false" outlineLevel="0" collapsed="false">
      <c r="A1" s="3" t="s">
        <v>0</v>
      </c>
      <c r="B1" s="4"/>
      <c r="C1" s="4"/>
      <c r="D1" s="5"/>
      <c r="E1" s="5"/>
      <c r="F1" s="4"/>
      <c r="G1" s="6"/>
      <c r="H1" s="7"/>
      <c r="I1" s="4"/>
      <c r="J1" s="4"/>
      <c r="K1" s="4"/>
      <c r="L1" s="4"/>
      <c r="M1" s="4"/>
      <c r="N1" s="4"/>
      <c r="O1" s="8" t="s">
        <v>1</v>
      </c>
      <c r="P1" s="9"/>
      <c r="Q1" s="9"/>
      <c r="R1" s="9"/>
      <c r="S1" s="9"/>
      <c r="T1" s="9"/>
      <c r="U1" s="9"/>
      <c r="V1" s="10"/>
      <c r="W1" s="11"/>
    </row>
    <row r="2" customFormat="false" ht="12.75" hidden="false" customHeight="false" outlineLevel="0" collapsed="false">
      <c r="A2" s="12" t="s">
        <v>2</v>
      </c>
      <c r="B2" s="13"/>
      <c r="C2" s="14" t="s">
        <v>2</v>
      </c>
      <c r="D2" s="9"/>
      <c r="E2" s="15"/>
      <c r="F2" s="16"/>
      <c r="G2" s="16"/>
      <c r="H2" s="17"/>
      <c r="I2" s="16"/>
      <c r="J2" s="16"/>
      <c r="K2" s="16"/>
      <c r="L2" s="18"/>
      <c r="M2" s="19"/>
      <c r="N2" s="19"/>
      <c r="O2" s="20" t="s">
        <v>3</v>
      </c>
      <c r="P2" s="9"/>
      <c r="Q2" s="9"/>
      <c r="R2" s="9"/>
      <c r="S2" s="9"/>
      <c r="T2" s="9"/>
      <c r="U2" s="9"/>
      <c r="V2" s="21"/>
      <c r="W2" s="22"/>
    </row>
    <row r="3" customFormat="false" ht="13.5" hidden="false" customHeight="false" outlineLevel="0" collapsed="false">
      <c r="A3" s="12" t="s">
        <v>4</v>
      </c>
      <c r="B3" s="13"/>
      <c r="C3" s="12" t="s">
        <v>5</v>
      </c>
      <c r="D3" s="23"/>
      <c r="E3" s="23"/>
      <c r="F3" s="24"/>
      <c r="G3" s="24"/>
      <c r="H3" s="25"/>
      <c r="I3" s="26"/>
      <c r="J3" s="25"/>
      <c r="K3" s="27" t="s">
        <v>6</v>
      </c>
      <c r="L3" s="28"/>
      <c r="M3" s="29" t="n">
        <v>10.22</v>
      </c>
      <c r="N3" s="30"/>
      <c r="O3" s="31"/>
      <c r="P3" s="9"/>
      <c r="Q3" s="9"/>
      <c r="R3" s="9"/>
      <c r="S3" s="9"/>
      <c r="T3" s="9"/>
      <c r="U3" s="9"/>
      <c r="V3" s="21"/>
      <c r="W3" s="22"/>
    </row>
    <row r="4" customFormat="false" ht="13.5" hidden="false" customHeight="false" outlineLevel="0" collapsed="false">
      <c r="A4" s="32" t="n">
        <v>40380</v>
      </c>
      <c r="B4" s="33"/>
      <c r="C4" s="34"/>
      <c r="D4" s="35"/>
      <c r="E4" s="35"/>
      <c r="F4" s="34"/>
      <c r="G4" s="34"/>
      <c r="H4" s="35"/>
      <c r="I4" s="36" t="s">
        <v>7</v>
      </c>
      <c r="J4" s="37"/>
      <c r="K4" s="37"/>
      <c r="L4" s="38"/>
      <c r="M4" s="38"/>
      <c r="N4" s="39" t="s">
        <v>8</v>
      </c>
      <c r="O4" s="40"/>
      <c r="P4" s="9"/>
      <c r="Q4" s="9"/>
      <c r="R4" s="9"/>
      <c r="S4" s="9"/>
      <c r="T4" s="9"/>
      <c r="U4" s="9"/>
      <c r="V4" s="21"/>
      <c r="W4" s="41"/>
    </row>
    <row r="5" customFormat="false" ht="14.25" hidden="false" customHeight="true" outlineLevel="0" collapsed="false">
      <c r="A5" s="42"/>
      <c r="B5" s="43" t="s">
        <v>9</v>
      </c>
      <c r="C5" s="44" t="s">
        <v>10</v>
      </c>
      <c r="D5" s="45"/>
      <c r="E5" s="45"/>
      <c r="F5" s="46" t="s">
        <v>11</v>
      </c>
      <c r="G5" s="47"/>
      <c r="H5" s="45"/>
      <c r="I5" s="48"/>
      <c r="J5" s="49"/>
      <c r="K5" s="50" t="s">
        <v>12</v>
      </c>
      <c r="L5" s="51" t="n">
        <v>11.8888888888889</v>
      </c>
      <c r="M5" s="52"/>
      <c r="N5" s="53" t="s">
        <v>13</v>
      </c>
      <c r="O5" s="54" t="n">
        <v>11.375</v>
      </c>
      <c r="P5" s="9"/>
      <c r="Q5" s="9"/>
      <c r="R5" s="9"/>
      <c r="S5" s="9"/>
      <c r="T5" s="9"/>
      <c r="U5" s="9"/>
      <c r="V5" s="21"/>
      <c r="W5" s="41"/>
    </row>
    <row r="6" customFormat="false" ht="13.5" hidden="false" customHeight="false" outlineLevel="0" collapsed="false">
      <c r="A6" s="55" t="s">
        <v>14</v>
      </c>
      <c r="B6" s="56" t="s">
        <v>15</v>
      </c>
      <c r="C6" s="57" t="s">
        <v>16</v>
      </c>
      <c r="D6" s="45"/>
      <c r="E6" s="45"/>
      <c r="F6" s="46"/>
      <c r="G6" s="47"/>
      <c r="H6" s="45"/>
      <c r="I6" s="58" t="s">
        <v>17</v>
      </c>
      <c r="J6" s="59"/>
      <c r="K6" s="60"/>
      <c r="L6" s="61" t="s">
        <v>18</v>
      </c>
      <c r="M6" s="62"/>
      <c r="N6" s="63" t="s">
        <v>19</v>
      </c>
      <c r="O6" s="63"/>
      <c r="P6" s="9"/>
      <c r="Q6" s="9"/>
      <c r="R6" s="9"/>
      <c r="S6" s="9"/>
      <c r="T6" s="9"/>
      <c r="U6" s="9"/>
      <c r="V6" s="21"/>
      <c r="W6" s="22"/>
    </row>
    <row r="7" customFormat="false" ht="12.75" hidden="false" customHeight="false" outlineLevel="0" collapsed="false">
      <c r="A7" s="64" t="s">
        <v>20</v>
      </c>
      <c r="B7" s="65" t="n">
        <v>60</v>
      </c>
      <c r="C7" s="66" t="n">
        <v>40</v>
      </c>
      <c r="D7" s="67"/>
      <c r="E7" s="67"/>
      <c r="F7" s="68" t="n">
        <f aca="false">IF((OR((B7+C7=100),(B7+C7=0))),B7+C7,"ATTENTION")</f>
        <v>100</v>
      </c>
      <c r="G7" s="69"/>
      <c r="H7" s="67"/>
      <c r="I7" s="70"/>
      <c r="J7" s="71"/>
      <c r="K7" s="72"/>
      <c r="L7" s="73"/>
      <c r="M7" s="74"/>
      <c r="N7" s="75" t="s">
        <v>21</v>
      </c>
      <c r="O7" s="76" t="s">
        <v>22</v>
      </c>
      <c r="P7" s="9"/>
      <c r="Q7" s="9"/>
      <c r="R7" s="9"/>
      <c r="S7" s="9"/>
      <c r="T7" s="9"/>
      <c r="U7" s="9"/>
      <c r="V7" s="21"/>
      <c r="W7" s="22"/>
    </row>
    <row r="8" customFormat="false" ht="12.75" hidden="false" customHeight="false" outlineLevel="0" collapsed="false">
      <c r="A8" s="77" t="s">
        <v>23</v>
      </c>
      <c r="B8" s="77"/>
      <c r="C8" s="77"/>
      <c r="D8" s="67"/>
      <c r="E8" s="67"/>
      <c r="F8" s="78" t="s">
        <v>24</v>
      </c>
      <c r="G8" s="79"/>
      <c r="H8" s="80"/>
      <c r="I8" s="70"/>
      <c r="J8" s="71"/>
      <c r="K8" s="72"/>
      <c r="L8" s="73"/>
      <c r="M8" s="81" t="s">
        <v>25</v>
      </c>
      <c r="N8" s="82" t="n">
        <f aca="false">AVERAGE(I23:I82)</f>
        <v>11.5</v>
      </c>
      <c r="O8" s="83" t="n">
        <f aca="false">AVERAGE(J23:J82)</f>
        <v>1.8</v>
      </c>
      <c r="P8" s="9"/>
      <c r="Q8" s="9"/>
      <c r="R8" s="9"/>
      <c r="S8" s="9"/>
      <c r="T8" s="9"/>
      <c r="U8" s="9"/>
      <c r="V8" s="21"/>
      <c r="W8" s="22"/>
    </row>
    <row r="9" customFormat="false" ht="13.5" hidden="false" customHeight="false" outlineLevel="0" collapsed="false">
      <c r="A9" s="84" t="s">
        <v>26</v>
      </c>
      <c r="B9" s="85" t="n">
        <v>0.09</v>
      </c>
      <c r="C9" s="86" t="n">
        <v>0.13</v>
      </c>
      <c r="D9" s="87"/>
      <c r="E9" s="87"/>
      <c r="F9" s="88" t="n">
        <f aca="false">($B9*$B$7+$C9*$C$7)/100</f>
        <v>0.106</v>
      </c>
      <c r="G9" s="89"/>
      <c r="H9" s="90"/>
      <c r="I9" s="91"/>
      <c r="J9" s="92"/>
      <c r="K9" s="72"/>
      <c r="L9" s="93"/>
      <c r="M9" s="81" t="s">
        <v>27</v>
      </c>
      <c r="N9" s="82" t="n">
        <f aca="false">STDEV(I23:I82)</f>
        <v>3.47211110933328</v>
      </c>
      <c r="O9" s="83" t="n">
        <f aca="false">STDEV(J23:J82)</f>
        <v>0.632455532033676</v>
      </c>
      <c r="P9" s="9"/>
      <c r="Q9" s="9"/>
      <c r="R9" s="9"/>
      <c r="S9" s="9"/>
      <c r="T9" s="9"/>
      <c r="U9" s="9"/>
      <c r="V9" s="94"/>
      <c r="W9" s="95"/>
    </row>
    <row r="10" customFormat="false" ht="13.5" hidden="false" customHeight="false" outlineLevel="0" collapsed="false">
      <c r="A10" s="96" t="s">
        <v>28</v>
      </c>
      <c r="B10" s="97" t="n">
        <v>0</v>
      </c>
      <c r="C10" s="98" t="n">
        <v>0</v>
      </c>
      <c r="D10" s="99"/>
      <c r="E10" s="99"/>
      <c r="F10" s="88" t="n">
        <f aca="false">($B10*$B$7+$C10*$C$7)/100</f>
        <v>0</v>
      </c>
      <c r="G10" s="89"/>
      <c r="H10" s="100"/>
      <c r="I10" s="101"/>
      <c r="J10" s="102" t="s">
        <v>29</v>
      </c>
      <c r="K10" s="102"/>
      <c r="L10" s="103"/>
      <c r="M10" s="104" t="s">
        <v>30</v>
      </c>
      <c r="N10" s="105" t="n">
        <f aca="false">MIN(I23:I82)</f>
        <v>4</v>
      </c>
      <c r="O10" s="106" t="n">
        <f aca="false">MIN(J23:J82)</f>
        <v>1</v>
      </c>
      <c r="P10" s="9"/>
      <c r="Q10" s="9"/>
      <c r="R10" s="9"/>
      <c r="S10" s="9"/>
      <c r="T10" s="9"/>
      <c r="U10" s="9"/>
    </row>
    <row r="11" customFormat="false" ht="12.75" hidden="false" customHeight="false" outlineLevel="0" collapsed="false">
      <c r="A11" s="107" t="s">
        <v>31</v>
      </c>
      <c r="B11" s="108" t="n">
        <v>0</v>
      </c>
      <c r="C11" s="109" t="n">
        <v>0</v>
      </c>
      <c r="D11" s="110"/>
      <c r="E11" s="110"/>
      <c r="F11" s="111" t="n">
        <f aca="false">($B11*$B$7+$C11*$C$7)/100</f>
        <v>0</v>
      </c>
      <c r="G11" s="112"/>
      <c r="H11" s="67"/>
      <c r="I11" s="113" t="s">
        <v>32</v>
      </c>
      <c r="J11" s="113"/>
      <c r="K11" s="114" t="n">
        <f aca="false">COUNTIF($G$23:$G$82,"=HET")</f>
        <v>0</v>
      </c>
      <c r="L11" s="115"/>
      <c r="M11" s="104" t="s">
        <v>33</v>
      </c>
      <c r="N11" s="105" t="n">
        <f aca="false">MAX(I23:I82)</f>
        <v>16</v>
      </c>
      <c r="O11" s="106" t="n">
        <f aca="false">MAX(J23:J82)</f>
        <v>3</v>
      </c>
      <c r="P11" s="9"/>
      <c r="Q11" s="9"/>
      <c r="R11" s="9"/>
      <c r="S11" s="9"/>
      <c r="T11" s="9"/>
      <c r="U11" s="9"/>
    </row>
    <row r="12" customFormat="false" ht="12.75" hidden="false" customHeight="false" outlineLevel="0" collapsed="false">
      <c r="A12" s="116" t="s">
        <v>34</v>
      </c>
      <c r="B12" s="117" t="n">
        <v>0.09</v>
      </c>
      <c r="C12" s="118" t="n">
        <v>0.08</v>
      </c>
      <c r="D12" s="110"/>
      <c r="E12" s="110"/>
      <c r="F12" s="111" t="n">
        <f aca="false">($B12*$B$7+$C12*$C$7)/100</f>
        <v>0.086</v>
      </c>
      <c r="G12" s="119"/>
      <c r="H12" s="67"/>
      <c r="I12" s="120" t="s">
        <v>35</v>
      </c>
      <c r="J12" s="120"/>
      <c r="K12" s="114" t="n">
        <f aca="false">COUNTIF($G$23:$G$82,"=ALG")</f>
        <v>6</v>
      </c>
      <c r="L12" s="121"/>
      <c r="M12" s="122"/>
      <c r="N12" s="123" t="s">
        <v>29</v>
      </c>
      <c r="O12" s="124"/>
      <c r="P12" s="9"/>
      <c r="Q12" s="9"/>
      <c r="R12" s="9"/>
      <c r="S12" s="9"/>
      <c r="T12" s="9"/>
      <c r="U12" s="9"/>
    </row>
    <row r="13" customFormat="false" ht="12.75" hidden="false" customHeight="false" outlineLevel="0" collapsed="false">
      <c r="A13" s="116" t="s">
        <v>36</v>
      </c>
      <c r="B13" s="117" t="n">
        <v>0</v>
      </c>
      <c r="C13" s="118" t="n">
        <v>0.02</v>
      </c>
      <c r="D13" s="110"/>
      <c r="E13" s="110"/>
      <c r="F13" s="111" t="n">
        <f aca="false">($B13*$B$7+$C13*$C$7)/100</f>
        <v>0.008</v>
      </c>
      <c r="G13" s="119"/>
      <c r="H13" s="67"/>
      <c r="I13" s="120" t="s">
        <v>37</v>
      </c>
      <c r="J13" s="120"/>
      <c r="K13" s="114" t="n">
        <f aca="false">COUNTIF($G$23:$G$82,"=BRm")+COUNTIF($G$23:$G$82,"=BRh")</f>
        <v>3</v>
      </c>
      <c r="L13" s="115"/>
      <c r="M13" s="125" t="s">
        <v>38</v>
      </c>
      <c r="N13" s="126" t="n">
        <f aca="false">COUNTIF(F23:F82,"&gt;0")</f>
        <v>11</v>
      </c>
      <c r="O13" s="127"/>
      <c r="P13" s="9"/>
      <c r="Q13" s="9"/>
      <c r="R13" s="9"/>
      <c r="S13" s="9"/>
      <c r="T13" s="9"/>
      <c r="U13" s="9"/>
    </row>
    <row r="14" customFormat="false" ht="12.75" hidden="false" customHeight="false" outlineLevel="0" collapsed="false">
      <c r="A14" s="116" t="s">
        <v>39</v>
      </c>
      <c r="B14" s="117" t="n">
        <v>0</v>
      </c>
      <c r="C14" s="118" t="n">
        <v>0.01</v>
      </c>
      <c r="D14" s="110"/>
      <c r="E14" s="110"/>
      <c r="F14" s="111" t="n">
        <f aca="false">($B14*$B$7+$C14*$C$7)/100</f>
        <v>0.004</v>
      </c>
      <c r="G14" s="119"/>
      <c r="H14" s="67"/>
      <c r="I14" s="120" t="s">
        <v>40</v>
      </c>
      <c r="J14" s="120"/>
      <c r="K14" s="114" t="n">
        <f aca="false">COUNTIF($G$23:$G$82,"=PTE")</f>
        <v>1</v>
      </c>
      <c r="L14" s="115"/>
      <c r="M14" s="128" t="s">
        <v>41</v>
      </c>
      <c r="N14" s="129" t="n">
        <f aca="false">COUNTIF($I$23:$I$82,"&gt;-1")</f>
        <v>10</v>
      </c>
      <c r="O14" s="130"/>
      <c r="P14" s="9"/>
      <c r="Q14" s="9"/>
      <c r="R14" s="9"/>
      <c r="S14" s="9"/>
      <c r="T14" s="9"/>
      <c r="U14" s="9"/>
    </row>
    <row r="15" customFormat="false" ht="12.75" hidden="false" customHeight="false" outlineLevel="0" collapsed="false">
      <c r="A15" s="131" t="s">
        <v>42</v>
      </c>
      <c r="B15" s="132" t="n">
        <v>0</v>
      </c>
      <c r="C15" s="133" t="n">
        <v>0.02</v>
      </c>
      <c r="D15" s="110"/>
      <c r="E15" s="110"/>
      <c r="F15" s="111" t="n">
        <f aca="false">($B15*$B$7+$C15*$C$7)/100</f>
        <v>0.008</v>
      </c>
      <c r="G15" s="119"/>
      <c r="H15" s="67"/>
      <c r="I15" s="120" t="s">
        <v>43</v>
      </c>
      <c r="J15" s="120"/>
      <c r="K15" s="114" t="n">
        <f aca="false">(COUNTIF($G$23:$G$82,"=PHy"))+(COUNTIF($G$23:$G$82,"=PHe"))+(COUNTIF($G$23:$G$82,"=PHg"))+(COUNTIF($G$23:$G$82,"=PHx"))</f>
        <v>1</v>
      </c>
      <c r="L15" s="115"/>
      <c r="M15" s="134" t="s">
        <v>44</v>
      </c>
      <c r="N15" s="135" t="n">
        <f aca="false">COUNTIF(J23:J82,"=1")</f>
        <v>3</v>
      </c>
      <c r="O15" s="136"/>
      <c r="P15" s="9"/>
      <c r="Q15" s="9"/>
      <c r="R15" s="9"/>
      <c r="S15" s="9"/>
      <c r="T15" s="9"/>
      <c r="U15" s="9"/>
    </row>
    <row r="16" customFormat="false" ht="12.75" hidden="false" customHeight="false" outlineLevel="0" collapsed="false">
      <c r="A16" s="107" t="s">
        <v>45</v>
      </c>
      <c r="B16" s="108" t="n">
        <v>0</v>
      </c>
      <c r="C16" s="109" t="n">
        <v>0</v>
      </c>
      <c r="D16" s="137"/>
      <c r="E16" s="137"/>
      <c r="F16" s="138"/>
      <c r="G16" s="138" t="n">
        <f aca="false">($B16*$B$7+$C16*$C$7)/100</f>
        <v>0</v>
      </c>
      <c r="H16" s="67"/>
      <c r="I16" s="120"/>
      <c r="J16" s="139"/>
      <c r="K16" s="139"/>
      <c r="L16" s="115"/>
      <c r="M16" s="134" t="s">
        <v>46</v>
      </c>
      <c r="N16" s="135" t="n">
        <f aca="false">COUNTIF(J23:J82,"=2")</f>
        <v>6</v>
      </c>
      <c r="O16" s="136"/>
      <c r="P16" s="9"/>
      <c r="Q16" s="9"/>
      <c r="R16" s="9"/>
      <c r="S16" s="9"/>
      <c r="T16" s="9"/>
      <c r="U16" s="9"/>
    </row>
    <row r="17" customFormat="false" ht="12.75" hidden="false" customHeight="false" outlineLevel="0" collapsed="false">
      <c r="A17" s="116" t="s">
        <v>47</v>
      </c>
      <c r="B17" s="117" t="n">
        <v>0.09</v>
      </c>
      <c r="C17" s="118" t="n">
        <v>0.12</v>
      </c>
      <c r="D17" s="110"/>
      <c r="E17" s="110"/>
      <c r="F17" s="140"/>
      <c r="G17" s="111" t="n">
        <f aca="false">($B17*$B$7+$C17*$C$7)/100</f>
        <v>0.102</v>
      </c>
      <c r="H17" s="67"/>
      <c r="I17" s="120"/>
      <c r="J17" s="120"/>
      <c r="K17" s="139"/>
      <c r="L17" s="115"/>
      <c r="M17" s="134" t="s">
        <v>48</v>
      </c>
      <c r="N17" s="135" t="n">
        <f aca="false">COUNTIF(J23:J82,"=3")</f>
        <v>1</v>
      </c>
      <c r="O17" s="136"/>
      <c r="P17" s="9"/>
      <c r="Q17" s="9"/>
      <c r="R17" s="9"/>
      <c r="S17" s="9"/>
      <c r="T17" s="9"/>
      <c r="U17" s="9"/>
    </row>
    <row r="18" customFormat="false" ht="12.75" hidden="false" customHeight="false" outlineLevel="0" collapsed="false">
      <c r="A18" s="141" t="s">
        <v>49</v>
      </c>
      <c r="B18" s="142" t="n">
        <v>0</v>
      </c>
      <c r="C18" s="143" t="n">
        <v>0.01</v>
      </c>
      <c r="D18" s="110"/>
      <c r="E18" s="144" t="s">
        <v>50</v>
      </c>
      <c r="F18" s="140"/>
      <c r="G18" s="111" t="n">
        <f aca="false">($B18*$B$7+$C18*$C$7)/100</f>
        <v>0.004</v>
      </c>
      <c r="H18" s="67"/>
      <c r="I18" s="120"/>
      <c r="J18" s="120"/>
      <c r="K18" s="139"/>
      <c r="L18" s="115"/>
      <c r="M18" s="145"/>
      <c r="N18" s="145"/>
      <c r="O18" s="136"/>
      <c r="P18" s="9"/>
      <c r="Q18" s="9"/>
      <c r="R18" s="9"/>
      <c r="S18" s="9"/>
      <c r="T18" s="9"/>
      <c r="U18" s="9"/>
      <c r="V18" s="146"/>
    </row>
    <row r="19" customFormat="false" ht="13.5" hidden="false" customHeight="false" outlineLevel="0" collapsed="false">
      <c r="A19" s="147" t="str">
        <f aca="false">IF(AND(OR(AND((B9=""),(B7="")),(B9=""),AND(ISNUMBER(B9),ISNUMBER(B7))),OR(AND((C9=""),(C7="")),(C9=""),AND(ISNUMBER(C9),ISNUMBER(C7)))),"","ATTENTION: renseigner % faciès / station")</f>
        <v/>
      </c>
      <c r="B19" s="148"/>
      <c r="C19" s="149"/>
      <c r="D19" s="150" t="str">
        <f aca="false">IF(G19=F19,"","ATTENTION : le total par grp. floristiques doit être égal")</f>
        <v/>
      </c>
      <c r="E19" s="151" t="str">
        <f aca="false">IF(G19=F19,"","au total par grp. Fonctionnels !")</f>
        <v/>
      </c>
      <c r="F19" s="152" t="n">
        <f aca="false">SUM(F11:F15)</f>
        <v>0.106</v>
      </c>
      <c r="G19" s="152" t="n">
        <f aca="false">SUM(G16:G18)</f>
        <v>0.106</v>
      </c>
      <c r="H19" s="153"/>
      <c r="I19" s="154"/>
      <c r="J19" s="155"/>
      <c r="K19" s="156"/>
      <c r="L19" s="157"/>
      <c r="M19" s="158"/>
      <c r="N19" s="60"/>
      <c r="O19" s="159"/>
      <c r="P19" s="9"/>
      <c r="Q19" s="9"/>
      <c r="R19" s="9"/>
      <c r="S19" s="9"/>
      <c r="T19" s="9"/>
      <c r="U19" s="9"/>
      <c r="V19" s="146"/>
    </row>
    <row r="20" customFormat="false" ht="12.75" hidden="false" customHeight="false" outlineLevel="0" collapsed="false">
      <c r="A20" s="84" t="s">
        <v>51</v>
      </c>
      <c r="B20" s="160" t="n">
        <f aca="false">SUM(B23:B82)</f>
        <v>0.09</v>
      </c>
      <c r="C20" s="161" t="n">
        <f aca="false">SUM(C23:C82)</f>
        <v>0.12</v>
      </c>
      <c r="D20" s="162"/>
      <c r="E20" s="163" t="s">
        <v>50</v>
      </c>
      <c r="F20" s="164" t="n">
        <f aca="false">($B20*$B$7+$C20*$C$7)/100</f>
        <v>0.102</v>
      </c>
      <c r="G20" s="165"/>
      <c r="H20" s="166"/>
      <c r="I20" s="167"/>
      <c r="J20" s="167"/>
      <c r="K20" s="168"/>
      <c r="L20" s="46"/>
      <c r="M20" s="169"/>
      <c r="N20" s="169"/>
      <c r="O20" s="170"/>
      <c r="P20" s="171" t="s">
        <v>52</v>
      </c>
      <c r="Q20" s="9"/>
      <c r="R20" s="9"/>
      <c r="S20" s="9"/>
      <c r="T20" s="9"/>
      <c r="U20" s="9"/>
      <c r="V20" s="146"/>
    </row>
    <row r="21" customFormat="false" ht="12.75" hidden="false" customHeight="false" outlineLevel="0" collapsed="false">
      <c r="A21" s="172" t="s">
        <v>53</v>
      </c>
      <c r="B21" s="173" t="n">
        <f aca="false">B20*B7/100</f>
        <v>0.054</v>
      </c>
      <c r="C21" s="173" t="n">
        <f aca="false">C20*C7/100</f>
        <v>0.048</v>
      </c>
      <c r="D21" s="110" t="str">
        <f aca="false">IF(F21=0,"",IF((ABS(F21-F19))&gt;(0.2*F21),CONCATENATE(" rec. par taxa (",F21," %) supérieur à 20 % !"),""))</f>
        <v/>
      </c>
      <c r="E21" s="174" t="str">
        <f aca="false">IF(F21=0,"",IF((ABS(F21-F19))&gt;(0.2*F21),CONCATENATE("ATTENTION : écart entre rec. par grp (",F19," %) ","et",""),""))</f>
        <v/>
      </c>
      <c r="F21" s="175" t="n">
        <f aca="false">B21+C21</f>
        <v>0.102</v>
      </c>
      <c r="G21" s="176"/>
      <c r="H21" s="110"/>
      <c r="I21" s="177"/>
      <c r="J21" s="177"/>
      <c r="K21" s="178"/>
      <c r="L21" s="178"/>
      <c r="M21" s="179"/>
      <c r="N21" s="179"/>
      <c r="O21" s="180"/>
      <c r="P21" s="181" t="s">
        <v>54</v>
      </c>
      <c r="Q21" s="9"/>
      <c r="R21" s="9"/>
      <c r="S21" s="9"/>
      <c r="T21" s="9"/>
      <c r="U21" s="9"/>
      <c r="V21" s="146"/>
    </row>
    <row r="22" customFormat="false" ht="12.75" hidden="false" customHeight="false" outlineLevel="0" collapsed="false">
      <c r="A22" s="182" t="s">
        <v>55</v>
      </c>
      <c r="B22" s="183" t="s">
        <v>56</v>
      </c>
      <c r="C22" s="184" t="s">
        <v>56</v>
      </c>
      <c r="D22" s="137"/>
      <c r="E22" s="137"/>
      <c r="F22" s="185" t="s">
        <v>57</v>
      </c>
      <c r="G22" s="186" t="s">
        <v>58</v>
      </c>
      <c r="H22" s="137"/>
      <c r="I22" s="187" t="s">
        <v>59</v>
      </c>
      <c r="J22" s="187" t="s">
        <v>60</v>
      </c>
      <c r="K22" s="188" t="s">
        <v>61</v>
      </c>
      <c r="L22" s="188"/>
      <c r="M22" s="188"/>
      <c r="N22" s="188"/>
      <c r="O22" s="188"/>
      <c r="P22" s="189" t="s">
        <v>62</v>
      </c>
      <c r="Q22" s="190" t="s">
        <v>63</v>
      </c>
      <c r="R22" s="191" t="s">
        <v>64</v>
      </c>
      <c r="S22" s="192" t="s">
        <v>65</v>
      </c>
      <c r="T22" s="193" t="s">
        <v>66</v>
      </c>
      <c r="U22" s="191" t="s">
        <v>67</v>
      </c>
      <c r="X22" s="9" t="s">
        <v>68</v>
      </c>
      <c r="Y22" s="9" t="s">
        <v>69</v>
      </c>
      <c r="Z22" s="194" t="s">
        <v>70</v>
      </c>
      <c r="AA22" s="194" t="s">
        <v>71</v>
      </c>
    </row>
    <row r="23" customFormat="false" ht="12.75" hidden="false" customHeight="false" outlineLevel="0" collapsed="false">
      <c r="A23" s="195" t="s">
        <v>13</v>
      </c>
      <c r="B23" s="196"/>
      <c r="C23" s="197" t="n">
        <v>0.01</v>
      </c>
      <c r="D23" s="198" t="str">
        <f aca="false">IF(ISERROR(VLOOKUP($A23,'[1]liste reference'!$A$7:$D$906,2,0)),IF(ISERROR(VLOOKUP($A23,'[1]liste reference'!$B$7:$D$906,1,0)),"",VLOOKUP($A23,'[1]liste reference'!$B$7:$D$906,1,0)),VLOOKUP($A23,'[1]liste reference'!$A$7:$D$906,2,0))</f>
        <v>Batrachospermum sp. </v>
      </c>
      <c r="E23" s="198" t="e">
        <f aca="false">IF(D23="",0,VLOOKUP(D23,D$22:D22,1,0))</f>
        <v>#N/A</v>
      </c>
      <c r="F23" s="199" t="n">
        <f aca="false">($B23*$B$7+$C23*$C$7)/100</f>
        <v>0.004</v>
      </c>
      <c r="G23" s="200" t="str">
        <f aca="false">IF(A23="","",IF(ISERROR(VLOOKUP($A23,'[1]liste reference'!$A$7:$P$906,13,0)),IF(ISERROR(VLOOKUP($A23,'[1]liste reference'!$B$7:$P$906,12,0)),"    -",VLOOKUP($A23,'[1]liste reference'!$B$7:$P$906,12,0)),VLOOKUP($A23,'[1]liste reference'!$A$7:$P$906,13,0)))</f>
        <v>ALG</v>
      </c>
      <c r="H23" s="201" t="n">
        <f aca="false">IF(A23="","x",IF(ISERROR(VLOOKUP($A23,'[1]liste reference'!$A$7:$P$906,14,0)),IF(ISERROR(VLOOKUP($A23,'[1]liste reference'!$B$7:$P$906,13,0)),"x",VLOOKUP($A23,'[1]liste reference'!$B$7:$P$906,13,0)),VLOOKUP($A23,'[1]liste reference'!$A$7:$P$906,14,0)))</f>
        <v>2</v>
      </c>
      <c r="I23" s="202" t="n">
        <f aca="false">IF(ISNUMBER(H23),IF(ISERROR(VLOOKUP($A23,'[1]liste reference'!$A$7:$P$906,3,0)),IF(ISERROR(VLOOKUP($A23,'[1]liste reference'!$B$7:$P$906,2,0)),"",VLOOKUP($A23,'[1]liste reference'!$B$7:$P$906,2,0)),VLOOKUP($A23,'[1]liste reference'!$A$7:$P$906,3,0)),"")</f>
        <v>16</v>
      </c>
      <c r="J23" s="203" t="n">
        <f aca="false">IF(ISNUMBER(H23),IF(ISERROR(VLOOKUP($A23,'[1]liste reference'!$A$7:$P$906,4,0)),IF(ISERROR(VLOOKUP($A23,'[1]liste reference'!$B$7:$P$906,3,0)),"",VLOOKUP($A23,'[1]liste reference'!$B$7:$P$906,3,0)),VLOOKUP($A23,'[1]liste reference'!$A$7:$P$906,4,0)),"")</f>
        <v>2</v>
      </c>
      <c r="K23" s="204" t="str">
        <f aca="false">IF(A23="NEW.COD",AA23,IF(ISTEXT($E23),"DEJA SAISI !",IF(A23="","",IF(ISERROR(VLOOKUP($A23,'[1]liste reference'!$A$7:$D$906,2,0)),IF(ISERROR(VLOOKUP($A23,'[1]liste reference'!$B$7:$D$906,1,0)),"code non répertorié ou synonyme",VLOOKUP($A23,'[1]liste reference'!$B$7:$D$906,1,0)),VLOOKUP(A23,'[1]liste reference'!$A$7:$D$906,2,0)))))</f>
        <v>Batrachospermum sp. </v>
      </c>
      <c r="L23" s="205"/>
      <c r="M23" s="205"/>
      <c r="N23" s="205"/>
      <c r="O23" s="206"/>
      <c r="P23" s="207" t="n">
        <f aca="false">IF(ISTEXT(H23),"",(B23*$B$7/100)+(C23*$C$7/100))</f>
        <v>0.004</v>
      </c>
      <c r="Q23" s="208" t="n">
        <f aca="false">IF(OR(ISTEXT(H23),P23=0),"",IF(P23&lt;0.1,1,IF(P23&lt;1,2,IF(P23&lt;10,3,IF(P23&lt;50,4,IF(P23&gt;=50,5,""))))))</f>
        <v>1</v>
      </c>
      <c r="R23" s="208" t="n">
        <f aca="false">IF(ISERROR(Q23*I23),0,Q23*I23)</f>
        <v>16</v>
      </c>
      <c r="S23" s="208" t="n">
        <f aca="false">IF(ISERROR(Q23*I23*J23),0,Q23*I23*J23)</f>
        <v>32</v>
      </c>
      <c r="T23" s="208" t="n">
        <f aca="false">IF(ISERROR(Q23*J23),0,Q23*J23)</f>
        <v>2</v>
      </c>
      <c r="U23" s="209" t="str">
        <f aca="false">IF(AND(A23="",F23=0),"",IF(F23=0,"Il manque le(s) % de rec. !",""))</f>
        <v/>
      </c>
      <c r="V23" s="210"/>
      <c r="X23" s="211" t="str">
        <f aca="false">IF(A23="new.cod","NEW.COD",IF(AND((Y23=""),ISTEXT(A23)),A23,IF(Y23="","",INDEX('[1]liste reference'!$A$7:$A$906,Y23))))</f>
        <v>BAT.SPX</v>
      </c>
      <c r="Y23" s="9" t="n">
        <f aca="false">IF(ISERROR(MATCH(A23,'[1]liste reference'!$A$7:$A$906,0)),IF(ISERROR(MATCH(A23,'[1]liste reference'!$B$7:$B$906,0)),"",(MATCH(A23,'[1]liste reference'!$B$7:$B$906,0))),(MATCH(A23,'[1]liste reference'!$A$7:$A$906,0)))</f>
        <v>8</v>
      </c>
      <c r="Z23" s="212"/>
      <c r="AA23" s="213"/>
      <c r="BB23" s="9" t="n">
        <f aca="false">IF(A23="","",1)</f>
        <v>1</v>
      </c>
    </row>
    <row r="24" customFormat="false" ht="12.75" hidden="false" customHeight="false" outlineLevel="0" collapsed="false">
      <c r="A24" s="214" t="s">
        <v>72</v>
      </c>
      <c r="B24" s="215" t="n">
        <v>0.01</v>
      </c>
      <c r="C24" s="216"/>
      <c r="D24" s="217" t="str">
        <f aca="false">IF(ISERROR(VLOOKUP($A24,'[1]liste reference'!$A$7:$D$906,2,0)),IF(ISERROR(VLOOKUP($A24,'[1]liste reference'!$B$7:$D$906,1,0)),"",VLOOKUP($A24,'[1]liste reference'!$B$7:$D$906,1,0)),VLOOKUP($A24,'[1]liste reference'!$A$7:$D$906,2,0))</f>
        <v>Chaetophora sp.</v>
      </c>
      <c r="E24" s="217" t="e">
        <f aca="false">IF(D24="",0,VLOOKUP(D24,D$22:D23,1,0))</f>
        <v>#N/A</v>
      </c>
      <c r="F24" s="218" t="n">
        <f aca="false">($B24*$B$7+$C24*$C$7)/100</f>
        <v>0.006</v>
      </c>
      <c r="G24" s="219" t="str">
        <f aca="false">IF(A24="","",IF(ISERROR(VLOOKUP($A24,'[1]liste reference'!$A$7:$P$906,13,0)),IF(ISERROR(VLOOKUP($A24,'[1]liste reference'!$B$7:$P$906,12,0)),"    -",VLOOKUP($A24,'[1]liste reference'!$B$7:$P$906,12,0)),VLOOKUP($A24,'[1]liste reference'!$A$7:$P$906,13,0)))</f>
        <v>ALG</v>
      </c>
      <c r="H24" s="201" t="n">
        <f aca="false">IF(A24="","x",IF(ISERROR(VLOOKUP($A24,'[1]liste reference'!$A$7:$P$906,14,0)),IF(ISERROR(VLOOKUP($A24,'[1]liste reference'!$B$7:$P$906,13,0)),"x",VLOOKUP($A24,'[1]liste reference'!$B$7:$P$906,13,0)),VLOOKUP($A24,'[1]liste reference'!$A$7:$P$906,14,0)))</f>
        <v>2</v>
      </c>
      <c r="I24" s="220" t="n">
        <f aca="false">IF(ISNUMBER(H24),IF(ISERROR(VLOOKUP($A24,'[1]liste reference'!$A$7:$P$906,3,0)),IF(ISERROR(VLOOKUP($A24,'[1]liste reference'!$B$7:$P$906,2,0)),"",VLOOKUP($A24,'[1]liste reference'!$B$7:$P$906,2,0)),VLOOKUP($A24,'[1]liste reference'!$A$7:$P$906,3,0)),"")</f>
        <v>12</v>
      </c>
      <c r="J24" s="203" t="n">
        <f aca="false">IF(ISNUMBER(H24),IF(ISERROR(VLOOKUP($A24,'[1]liste reference'!$A$7:$P$906,4,0)),IF(ISERROR(VLOOKUP($A24,'[1]liste reference'!$B$7:$P$906,3,0)),"",VLOOKUP($A24,'[1]liste reference'!$B$7:$P$906,3,0)),VLOOKUP($A24,'[1]liste reference'!$A$7:$P$906,4,0)),"")</f>
        <v>2</v>
      </c>
      <c r="K24" s="221" t="str">
        <f aca="false">IF(A24="NEW.COD",AA24,IF(ISTEXT($E24),"DEJA SAISI !",IF(A24="","",IF(ISERROR(VLOOKUP($A24,'[1]liste reference'!$A$7:$D$906,2,0)),IF(ISERROR(VLOOKUP($A24,'[1]liste reference'!$B$7:$D$906,1,0)),"code non répertorié ou synonyme",VLOOKUP($A24,'[1]liste reference'!$B$7:$D$906,1,0)),VLOOKUP(A24,'[1]liste reference'!$A$7:$D$906,2,0)))))</f>
        <v>Chaetophora sp.</v>
      </c>
      <c r="L24" s="222"/>
      <c r="M24" s="222"/>
      <c r="N24" s="222"/>
      <c r="O24" s="206"/>
      <c r="P24" s="207" t="n">
        <f aca="false">IF(ISTEXT(H24),"",(B24*$B$7/100)+(C24*$C$7/100))</f>
        <v>0.006</v>
      </c>
      <c r="Q24" s="208" t="n">
        <f aca="false">IF(OR(ISTEXT(H24),P24=0),"",IF(P24&lt;0.1,1,IF(P24&lt;1,2,IF(P24&lt;10,3,IF(P24&lt;50,4,IF(P24&gt;=50,5,""))))))</f>
        <v>1</v>
      </c>
      <c r="R24" s="208" t="n">
        <f aca="false">IF(ISERROR(Q24*I24),0,Q24*I24)</f>
        <v>12</v>
      </c>
      <c r="S24" s="208" t="n">
        <f aca="false">IF(ISERROR(Q24*I24*J24),0,Q24*I24*J24)</f>
        <v>24</v>
      </c>
      <c r="T24" s="223" t="n">
        <f aca="false">IF(ISERROR(Q24*J24),0,Q24*J24)</f>
        <v>2</v>
      </c>
      <c r="U24" s="209" t="str">
        <f aca="false">IF(AND(A24="",F24=0),"",IF(F24=0,"Il manque le(s) % de rec. !",""))</f>
        <v/>
      </c>
      <c r="V24" s="210"/>
      <c r="X24" s="211" t="str">
        <f aca="false">IF(A24="new.cod","NEW.COD",IF(AND((Y24=""),ISTEXT(A24)),A24,IF(Y24="","",INDEX('[1]liste reference'!$A$7:$A$906,Y24))))</f>
        <v>CHE.SPX</v>
      </c>
      <c r="Y24" s="9" t="n">
        <f aca="false">IF(ISERROR(MATCH(A24,'[1]liste reference'!$A$7:$A$906,0)),IF(ISERROR(MATCH(A24,'[1]liste reference'!$B$7:$B$906,0)),"",(MATCH(A24,'[1]liste reference'!$B$7:$B$906,0))),(MATCH(A24,'[1]liste reference'!$A$7:$A$906,0)))</f>
        <v>10</v>
      </c>
      <c r="Z24" s="212"/>
      <c r="AA24" s="213"/>
      <c r="BB24" s="9" t="n">
        <f aca="false">IF(A24="","",1)</f>
        <v>1</v>
      </c>
    </row>
    <row r="25" customFormat="false" ht="12.75" hidden="false" customHeight="false" outlineLevel="0" collapsed="false">
      <c r="A25" s="214" t="s">
        <v>73</v>
      </c>
      <c r="B25" s="215" t="n">
        <v>0.01</v>
      </c>
      <c r="C25" s="216" t="n">
        <v>0.01</v>
      </c>
      <c r="D25" s="217" t="str">
        <f aca="false">IF(ISERROR(VLOOKUP($A25,'[1]liste reference'!$A$7:$D$906,2,0)),IF(ISERROR(VLOOKUP($A25,'[1]liste reference'!$B$7:$D$906,1,0)),"",VLOOKUP($A25,'[1]liste reference'!$B$7:$D$906,1,0)),VLOOKUP($A25,'[1]liste reference'!$A$7:$D$906,2,0))</f>
        <v>Lyngbya sp.</v>
      </c>
      <c r="E25" s="217" t="e">
        <f aca="false">IF(D25="",0,VLOOKUP(D25,D$22:D24,1,0))</f>
        <v>#N/A</v>
      </c>
      <c r="F25" s="218" t="n">
        <f aca="false">($B25*$B$7+$C25*$C$7)/100</f>
        <v>0.01</v>
      </c>
      <c r="G25" s="219" t="str">
        <f aca="false">IF(A25="","",IF(ISERROR(VLOOKUP($A25,'[1]liste reference'!$A$7:$P$906,13,0)),IF(ISERROR(VLOOKUP($A25,'[1]liste reference'!$B$7:$P$906,12,0)),"    -",VLOOKUP($A25,'[1]liste reference'!$B$7:$P$906,12,0)),VLOOKUP($A25,'[1]liste reference'!$A$7:$P$906,13,0)))</f>
        <v>ALG</v>
      </c>
      <c r="H25" s="201" t="n">
        <f aca="false">IF(A25="","x",IF(ISERROR(VLOOKUP($A25,'[1]liste reference'!$A$7:$P$906,14,0)),IF(ISERROR(VLOOKUP($A25,'[1]liste reference'!$B$7:$P$906,13,0)),"x",VLOOKUP($A25,'[1]liste reference'!$B$7:$P$906,13,0)),VLOOKUP($A25,'[1]liste reference'!$A$7:$P$906,14,0)))</f>
        <v>2</v>
      </c>
      <c r="I25" s="220" t="n">
        <f aca="false">IF(ISNUMBER(H25),IF(ISERROR(VLOOKUP($A25,'[1]liste reference'!$A$7:$P$906,3,0)),IF(ISERROR(VLOOKUP($A25,'[1]liste reference'!$B$7:$P$906,2,0)),"",VLOOKUP($A25,'[1]liste reference'!$B$7:$P$906,2,0)),VLOOKUP($A25,'[1]liste reference'!$A$7:$P$906,3,0)),"")</f>
        <v>10</v>
      </c>
      <c r="J25" s="203" t="n">
        <f aca="false">IF(ISNUMBER(H25),IF(ISERROR(VLOOKUP($A25,'[1]liste reference'!$A$7:$P$906,4,0)),IF(ISERROR(VLOOKUP($A25,'[1]liste reference'!$B$7:$P$906,3,0)),"",VLOOKUP($A25,'[1]liste reference'!$B$7:$P$906,3,0)),VLOOKUP($A25,'[1]liste reference'!$A$7:$P$906,4,0)),"")</f>
        <v>2</v>
      </c>
      <c r="K25" s="221" t="str">
        <f aca="false">IF(A25="NEW.COD",AA25,IF(ISTEXT($E25),"DEJA SAISI !",IF(A25="","",IF(ISERROR(VLOOKUP($A25,'[1]liste reference'!$A$7:$D$906,2,0)),IF(ISERROR(VLOOKUP($A25,'[1]liste reference'!$B$7:$D$906,1,0)),"code non répertorié ou synonyme",VLOOKUP($A25,'[1]liste reference'!$B$7:$D$906,1,0)),VLOOKUP(A25,'[1]liste reference'!$A$7:$D$906,2,0)))))</f>
        <v>Lyngbya sp.</v>
      </c>
      <c r="L25" s="222"/>
      <c r="M25" s="222"/>
      <c r="N25" s="222"/>
      <c r="O25" s="206"/>
      <c r="P25" s="207" t="n">
        <f aca="false">IF(ISTEXT(H25),"",(B25*$B$7/100)+(C25*$C$7/100))</f>
        <v>0.01</v>
      </c>
      <c r="Q25" s="208" t="n">
        <f aca="false">IF(OR(ISTEXT(H25),P25=0),"",IF(P25&lt;0.1,1,IF(P25&lt;1,2,IF(P25&lt;10,3,IF(P25&lt;50,4,IF(P25&gt;=50,5,""))))))</f>
        <v>1</v>
      </c>
      <c r="R25" s="208" t="n">
        <f aca="false">IF(ISERROR(Q25*I25),0,Q25*I25)</f>
        <v>10</v>
      </c>
      <c r="S25" s="208" t="n">
        <f aca="false">IF(ISERROR(Q25*I25*J25),0,Q25*I25*J25)</f>
        <v>20</v>
      </c>
      <c r="T25" s="223" t="n">
        <f aca="false">IF(ISERROR(Q25*J25),0,Q25*J25)</f>
        <v>2</v>
      </c>
      <c r="U25" s="209" t="str">
        <f aca="false">IF(AND(A25="",F25=0),"",IF(F25=0,"Il manque le(s) % de rec. !",""))</f>
        <v/>
      </c>
      <c r="V25" s="210"/>
      <c r="W25" s="210"/>
      <c r="X25" s="211" t="str">
        <f aca="false">IF(A25="new.cod","NEW.COD",IF(AND((Y25=""),ISTEXT(A25)),A25,IF(Y25="","",INDEX('[1]liste reference'!$A$7:$A$906,Y25))))</f>
        <v>LYN.SPX</v>
      </c>
      <c r="Y25" s="9" t="n">
        <f aca="false">IF(ISERROR(MATCH(A25,'[1]liste reference'!$A$7:$A$906,0)),IF(ISERROR(MATCH(A25,'[1]liste reference'!$B$7:$B$906,0)),"",(MATCH(A25,'[1]liste reference'!$B$7:$B$906,0))),(MATCH(A25,'[1]liste reference'!$A$7:$A$906,0)))</f>
        <v>36</v>
      </c>
      <c r="Z25" s="212"/>
      <c r="AA25" s="213"/>
      <c r="BB25" s="9" t="n">
        <f aca="false">IF(A25="","",1)</f>
        <v>1</v>
      </c>
    </row>
    <row r="26" customFormat="false" ht="12.75" hidden="false" customHeight="false" outlineLevel="0" collapsed="false">
      <c r="A26" s="214" t="s">
        <v>74</v>
      </c>
      <c r="B26" s="215" t="n">
        <v>0.05</v>
      </c>
      <c r="C26" s="216" t="n">
        <v>0.05</v>
      </c>
      <c r="D26" s="217" t="str">
        <f aca="false">IF(ISERROR(VLOOKUP($A26,'[1]liste reference'!$A$7:$D$906,2,0)),IF(ISERROR(VLOOKUP($A26,'[1]liste reference'!$B$7:$D$906,1,0)),"",VLOOKUP($A26,'[1]liste reference'!$B$7:$D$906,1,0)),VLOOKUP($A26,'[1]liste reference'!$A$7:$D$906,2,0))</f>
        <v>Oscillatoria sp.       </v>
      </c>
      <c r="E26" s="217" t="e">
        <f aca="false">IF(D26="",0,VLOOKUP(D26,D$22:D25,1,0))</f>
        <v>#N/A</v>
      </c>
      <c r="F26" s="218" t="n">
        <f aca="false">($B26*$B$7+$C26*$C$7)/100</f>
        <v>0.05</v>
      </c>
      <c r="G26" s="219" t="str">
        <f aca="false">IF(A26="","",IF(ISERROR(VLOOKUP($A26,'[1]liste reference'!$A$7:$P$906,13,0)),IF(ISERROR(VLOOKUP($A26,'[1]liste reference'!$B$7:$P$906,12,0)),"    -",VLOOKUP($A26,'[1]liste reference'!$B$7:$P$906,12,0)),VLOOKUP($A26,'[1]liste reference'!$A$7:$P$906,13,0)))</f>
        <v>ALG</v>
      </c>
      <c r="H26" s="201" t="n">
        <f aca="false">IF(A26="","x",IF(ISERROR(VLOOKUP($A26,'[1]liste reference'!$A$7:$P$906,14,0)),IF(ISERROR(VLOOKUP($A26,'[1]liste reference'!$B$7:$P$906,13,0)),"x",VLOOKUP($A26,'[1]liste reference'!$B$7:$P$906,13,0)),VLOOKUP($A26,'[1]liste reference'!$A$7:$P$906,14,0)))</f>
        <v>2</v>
      </c>
      <c r="I26" s="220" t="n">
        <f aca="false">IF(ISNUMBER(H26),IF(ISERROR(VLOOKUP($A26,'[1]liste reference'!$A$7:$P$906,3,0)),IF(ISERROR(VLOOKUP($A26,'[1]liste reference'!$B$7:$P$906,2,0)),"",VLOOKUP($A26,'[1]liste reference'!$B$7:$P$906,2,0)),VLOOKUP($A26,'[1]liste reference'!$A$7:$P$906,3,0)),"")</f>
        <v>11</v>
      </c>
      <c r="J26" s="203" t="n">
        <f aca="false">IF(ISNUMBER(H26),IF(ISERROR(VLOOKUP($A26,'[1]liste reference'!$A$7:$P$906,4,0)),IF(ISERROR(VLOOKUP($A26,'[1]liste reference'!$B$7:$P$906,3,0)),"",VLOOKUP($A26,'[1]liste reference'!$B$7:$P$906,3,0)),VLOOKUP($A26,'[1]liste reference'!$A$7:$P$906,4,0)),"")</f>
        <v>1</v>
      </c>
      <c r="K26" s="221" t="str">
        <f aca="false">IF(A26="NEW.COD",AA26,IF(ISTEXT($E26),"DEJA SAISI !",IF(A26="","",IF(ISERROR(VLOOKUP($A26,'[1]liste reference'!$A$7:$D$906,2,0)),IF(ISERROR(VLOOKUP($A26,'[1]liste reference'!$B$7:$D$906,1,0)),"code non répertorié ou synonyme",VLOOKUP($A26,'[1]liste reference'!$B$7:$D$906,1,0)),VLOOKUP(A26,'[1]liste reference'!$A$7:$D$906,2,0)))))</f>
        <v>Oscillatoria sp.       </v>
      </c>
      <c r="L26" s="222"/>
      <c r="M26" s="222"/>
      <c r="N26" s="222"/>
      <c r="O26" s="206"/>
      <c r="P26" s="207" t="n">
        <f aca="false">IF(ISTEXT(H26),"",(B26*$B$7/100)+(C26*$C$7/100))</f>
        <v>0.05</v>
      </c>
      <c r="Q26" s="208" t="n">
        <f aca="false">IF(OR(ISTEXT(H26),P26=0),"",IF(P26&lt;0.1,1,IF(P26&lt;1,2,IF(P26&lt;10,3,IF(P26&lt;50,4,IF(P26&gt;=50,5,""))))))</f>
        <v>1</v>
      </c>
      <c r="R26" s="208" t="n">
        <f aca="false">IF(ISERROR(Q26*I26),0,Q26*I26)</f>
        <v>11</v>
      </c>
      <c r="S26" s="208" t="n">
        <f aca="false">IF(ISERROR(Q26*I26*J26),0,Q26*I26*J26)</f>
        <v>11</v>
      </c>
      <c r="T26" s="223" t="n">
        <f aca="false">IF(ISERROR(Q26*J26),0,Q26*J26)</f>
        <v>1</v>
      </c>
      <c r="U26" s="209" t="str">
        <f aca="false">IF(AND(A26="",F26=0),"",IF(F26=0,"Il manque le(s) % de rec. !",""))</f>
        <v/>
      </c>
      <c r="V26" s="210"/>
      <c r="X26" s="211" t="str">
        <f aca="false">IF(A26="new.cod","NEW.COD",IF(AND((Y26=""),ISTEXT(A26)),A26,IF(Y26="","",INDEX('[1]liste reference'!$A$7:$A$906,Y26))))</f>
        <v>OSC.SPX</v>
      </c>
      <c r="Y26" s="9" t="n">
        <f aca="false">IF(ISERROR(MATCH(A26,'[1]liste reference'!$A$7:$A$906,0)),IF(ISERROR(MATCH(A26,'[1]liste reference'!$B$7:$B$906,0)),"",(MATCH(A26,'[1]liste reference'!$B$7:$B$906,0))),(MATCH(A26,'[1]liste reference'!$A$7:$A$906,0)))</f>
        <v>57</v>
      </c>
      <c r="Z26" s="212"/>
      <c r="AA26" s="213"/>
      <c r="BB26" s="9" t="n">
        <f aca="false">IF(A26="","",1)</f>
        <v>1</v>
      </c>
    </row>
    <row r="27" customFormat="false" ht="12.75" hidden="false" customHeight="false" outlineLevel="0" collapsed="false">
      <c r="A27" s="214" t="s">
        <v>75</v>
      </c>
      <c r="B27" s="215" t="n">
        <v>0.02</v>
      </c>
      <c r="C27" s="216"/>
      <c r="D27" s="217" t="str">
        <f aca="false">IF(ISERROR(VLOOKUP($A27,'[1]liste reference'!$A$7:$D$906,2,0)),IF(ISERROR(VLOOKUP($A27,'[1]liste reference'!$B$7:$D$906,1,0)),"",VLOOKUP($A27,'[1]liste reference'!$B$7:$D$906,1,0)),VLOOKUP($A27,'[1]liste reference'!$A$7:$D$906,2,0))</f>
        <v>Rhizoclonium sp.       </v>
      </c>
      <c r="E27" s="217" t="e">
        <f aca="false">IF(D27="",0,VLOOKUP(D27,D$22:D26,1,0))</f>
        <v>#N/A</v>
      </c>
      <c r="F27" s="218" t="n">
        <f aca="false">($B27*$B$7+$C27*$C$7)/100</f>
        <v>0.012</v>
      </c>
      <c r="G27" s="219" t="str">
        <f aca="false">IF(A27="","",IF(ISERROR(VLOOKUP($A27,'[1]liste reference'!$A$7:$P$906,13,0)),IF(ISERROR(VLOOKUP($A27,'[1]liste reference'!$B$7:$P$906,12,0)),"    -",VLOOKUP($A27,'[1]liste reference'!$B$7:$P$906,12,0)),VLOOKUP($A27,'[1]liste reference'!$A$7:$P$906,13,0)))</f>
        <v>ALG</v>
      </c>
      <c r="H27" s="201" t="n">
        <f aca="false">IF(A27="","x",IF(ISERROR(VLOOKUP($A27,'[1]liste reference'!$A$7:$P$906,14,0)),IF(ISERROR(VLOOKUP($A27,'[1]liste reference'!$B$7:$P$906,13,0)),"x",VLOOKUP($A27,'[1]liste reference'!$B$7:$P$906,13,0)),VLOOKUP($A27,'[1]liste reference'!$A$7:$P$906,14,0)))</f>
        <v>2</v>
      </c>
      <c r="I27" s="220" t="n">
        <f aca="false">IF(ISNUMBER(H27),IF(ISERROR(VLOOKUP($A27,'[1]liste reference'!$A$7:$P$906,3,0)),IF(ISERROR(VLOOKUP($A27,'[1]liste reference'!$B$7:$P$906,2,0)),"",VLOOKUP($A27,'[1]liste reference'!$B$7:$P$906,2,0)),VLOOKUP($A27,'[1]liste reference'!$A$7:$P$906,3,0)),"")</f>
        <v>4</v>
      </c>
      <c r="J27" s="203" t="n">
        <f aca="false">IF(ISNUMBER(H27),IF(ISERROR(VLOOKUP($A27,'[1]liste reference'!$A$7:$P$906,4,0)),IF(ISERROR(VLOOKUP($A27,'[1]liste reference'!$B$7:$P$906,3,0)),"",VLOOKUP($A27,'[1]liste reference'!$B$7:$P$906,3,0)),VLOOKUP($A27,'[1]liste reference'!$A$7:$P$906,4,0)),"")</f>
        <v>2</v>
      </c>
      <c r="K27" s="221" t="str">
        <f aca="false">IF(A27="NEW.COD",AA27,IF(ISTEXT($E27),"DEJA SAISI !",IF(A27="","",IF(ISERROR(VLOOKUP($A27,'[1]liste reference'!$A$7:$D$906,2,0)),IF(ISERROR(VLOOKUP($A27,'[1]liste reference'!$B$7:$D$906,1,0)),"code non répertorié ou synonyme",VLOOKUP($A27,'[1]liste reference'!$B$7:$D$906,1,0)),VLOOKUP(A27,'[1]liste reference'!$A$7:$D$906,2,0)))))</f>
        <v>Rhizoclonium sp.       </v>
      </c>
      <c r="L27" s="222"/>
      <c r="M27" s="222"/>
      <c r="N27" s="222"/>
      <c r="O27" s="206"/>
      <c r="P27" s="207" t="n">
        <f aca="false">IF(ISTEXT(H27),"",(B27*$B$7/100)+(C27*$C$7/100))</f>
        <v>0.012</v>
      </c>
      <c r="Q27" s="208" t="n">
        <f aca="false">IF(OR(ISTEXT(H27),P27=0),"",IF(P27&lt;0.1,1,IF(P27&lt;1,2,IF(P27&lt;10,3,IF(P27&lt;50,4,IF(P27&gt;=50,5,""))))))</f>
        <v>1</v>
      </c>
      <c r="R27" s="208" t="n">
        <f aca="false">IF(ISERROR(Q27*I27),0,Q27*I27)</f>
        <v>4</v>
      </c>
      <c r="S27" s="208" t="n">
        <f aca="false">IF(ISERROR(Q27*I27*J27),0,Q27*I27*J27)</f>
        <v>8</v>
      </c>
      <c r="T27" s="223" t="n">
        <f aca="false">IF(ISERROR(Q27*J27),0,Q27*J27)</f>
        <v>2</v>
      </c>
      <c r="U27" s="209" t="str">
        <f aca="false">IF(AND(A27="",F27=0),"",IF(F27=0,"Il manque le(s) % de rec. !",""))</f>
        <v/>
      </c>
      <c r="V27" s="210"/>
      <c r="X27" s="211" t="str">
        <f aca="false">IF(A27="new.cod","NEW.COD",IF(AND((Y27=""),ISTEXT(A27)),A27,IF(Y27="","",INDEX('[1]liste reference'!$A$7:$A$906,Y27))))</f>
        <v>RHI.SPX</v>
      </c>
      <c r="Y27" s="9" t="n">
        <f aca="false">IF(ISERROR(MATCH(A27,'[1]liste reference'!$A$7:$A$906,0)),IF(ISERROR(MATCH(A27,'[1]liste reference'!$B$7:$B$906,0)),"",(MATCH(A27,'[1]liste reference'!$B$7:$B$906,0))),(MATCH(A27,'[1]liste reference'!$A$7:$A$906,0)))</f>
        <v>63</v>
      </c>
      <c r="Z27" s="212"/>
      <c r="AA27" s="213"/>
      <c r="BB27" s="9" t="n">
        <f aca="false">IF(A27="","",1)</f>
        <v>1</v>
      </c>
    </row>
    <row r="28" customFormat="false" ht="12.75" hidden="false" customHeight="false" outlineLevel="0" collapsed="false">
      <c r="A28" s="214" t="s">
        <v>76</v>
      </c>
      <c r="B28" s="215"/>
      <c r="C28" s="216" t="n">
        <v>0.01</v>
      </c>
      <c r="D28" s="217" t="str">
        <f aca="false">IF(ISERROR(VLOOKUP($A28,'[1]liste reference'!$A$7:$D$906,2,0)),IF(ISERROR(VLOOKUP($A28,'[1]liste reference'!$B$7:$D$906,1,0)),"",VLOOKUP($A28,'[1]liste reference'!$B$7:$D$906,1,0)),VLOOKUP($A28,'[1]liste reference'!$A$7:$D$906,2,0))</f>
        <v>Spirogyra sp.       </v>
      </c>
      <c r="E28" s="217" t="e">
        <f aca="false">IF(D28="",0,VLOOKUP(D28,D$21:D27,1,0))</f>
        <v>#N/A</v>
      </c>
      <c r="F28" s="218" t="n">
        <f aca="false">($B28*$B$7+$C28*$C$7)/100</f>
        <v>0.004</v>
      </c>
      <c r="G28" s="219" t="str">
        <f aca="false">IF(A28="","",IF(ISERROR(VLOOKUP($A28,'[1]liste reference'!$A$7:$P$906,13,0)),IF(ISERROR(VLOOKUP($A28,'[1]liste reference'!$B$7:$P$906,12,0)),"    -",VLOOKUP($A28,'[1]liste reference'!$B$7:$P$906,12,0)),VLOOKUP($A28,'[1]liste reference'!$A$7:$P$906,13,0)))</f>
        <v>ALG</v>
      </c>
      <c r="H28" s="201" t="n">
        <f aca="false">IF(A28="","x",IF(ISERROR(VLOOKUP($A28,'[1]liste reference'!$A$7:$P$906,14,0)),IF(ISERROR(VLOOKUP($A28,'[1]liste reference'!$B$7:$P$906,13,0)),"x",VLOOKUP($A28,'[1]liste reference'!$B$7:$P$906,13,0)),VLOOKUP($A28,'[1]liste reference'!$A$7:$P$906,14,0)))</f>
        <v>2</v>
      </c>
      <c r="I28" s="220" t="n">
        <f aca="false">IF(ISNUMBER(H28),IF(ISERROR(VLOOKUP($A28,'[1]liste reference'!$A$7:$P$906,3,0)),IF(ISERROR(VLOOKUP($A28,'[1]liste reference'!$B$7:$P$906,2,0)),"",VLOOKUP($A28,'[1]liste reference'!$B$7:$P$906,2,0)),VLOOKUP($A28,'[1]liste reference'!$A$7:$P$906,3,0)),"")</f>
        <v>10</v>
      </c>
      <c r="J28" s="203" t="n">
        <f aca="false">IF(ISNUMBER(H28),IF(ISERROR(VLOOKUP($A28,'[1]liste reference'!$A$7:$P$906,4,0)),IF(ISERROR(VLOOKUP($A28,'[1]liste reference'!$B$7:$P$906,3,0)),"",VLOOKUP($A28,'[1]liste reference'!$B$7:$P$906,3,0)),VLOOKUP($A28,'[1]liste reference'!$A$7:$P$906,4,0)),"")</f>
        <v>1</v>
      </c>
      <c r="K28" s="221" t="str">
        <f aca="false">IF(A28="NEW.COD",AA28,IF(ISTEXT($E28),"DEJA SAISI !",IF(A28="","",IF(ISERROR(VLOOKUP($A28,'[1]liste reference'!$A$7:$D$906,2,0)),IF(ISERROR(VLOOKUP($A28,'[1]liste reference'!$B$7:$D$906,1,0)),"code non répertorié ou synonyme",VLOOKUP($A28,'[1]liste reference'!$B$7:$D$906,1,0)),VLOOKUP(A28,'[1]liste reference'!$A$7:$D$906,2,0)))))</f>
        <v>Spirogyra sp.       </v>
      </c>
      <c r="L28" s="222"/>
      <c r="M28" s="222"/>
      <c r="N28" s="222"/>
      <c r="O28" s="206"/>
      <c r="P28" s="207" t="n">
        <f aca="false">IF(ISTEXT(H28),"",(B28*$B$7/100)+(C28*$C$7/100))</f>
        <v>0.004</v>
      </c>
      <c r="Q28" s="208" t="n">
        <f aca="false">IF(OR(ISTEXT(H28),P28=0),"",IF(P28&lt;0.1,1,IF(P28&lt;1,2,IF(P28&lt;10,3,IF(P28&lt;50,4,IF(P28&gt;=50,5,""))))))</f>
        <v>1</v>
      </c>
      <c r="R28" s="208" t="n">
        <f aca="false">IF(ISERROR(Q28*I28),0,Q28*I28)</f>
        <v>10</v>
      </c>
      <c r="S28" s="208" t="n">
        <f aca="false">IF(ISERROR(Q28*I28*J28),0,Q28*I28*J28)</f>
        <v>10</v>
      </c>
      <c r="T28" s="223" t="n">
        <f aca="false">IF(ISERROR(Q28*J28),0,Q28*J28)</f>
        <v>1</v>
      </c>
      <c r="U28" s="209" t="str">
        <f aca="false">IF(AND(A28="",F28=0),"",IF(F28=0,"Il manque le(s) % de rec. !",""))</f>
        <v/>
      </c>
      <c r="V28" s="210"/>
      <c r="W28" s="224"/>
      <c r="X28" s="211" t="str">
        <f aca="false">IF(A28="new.cod","NEW.COD",IF(AND((Y28=""),ISTEXT(A28)),A28,IF(Y28="","",INDEX('[1]liste reference'!$A$7:$A$906,Y28))))</f>
        <v>SPI.SPX</v>
      </c>
      <c r="Y28" s="9" t="n">
        <f aca="false">IF(ISERROR(MATCH(A28,'[1]liste reference'!$A$7:$A$906,0)),IF(ISERROR(MATCH(A28,'[1]liste reference'!$B$7:$B$906,0)),"",(MATCH(A28,'[1]liste reference'!$B$7:$B$906,0))),(MATCH(A28,'[1]liste reference'!$A$7:$A$906,0)))</f>
        <v>70</v>
      </c>
      <c r="Z28" s="212"/>
      <c r="AA28" s="213"/>
      <c r="BB28" s="9" t="n">
        <f aca="false">IF(A28="","",1)</f>
        <v>1</v>
      </c>
    </row>
    <row r="29" customFormat="false" ht="12.75" hidden="false" customHeight="false" outlineLevel="0" collapsed="false">
      <c r="A29" s="214" t="s">
        <v>77</v>
      </c>
      <c r="B29" s="215"/>
      <c r="C29" s="216" t="n">
        <v>0.01</v>
      </c>
      <c r="D29" s="217" t="str">
        <f aca="false">IF(ISERROR(VLOOKUP($A29,'[1]liste reference'!$A$7:$D$906,2,0)),IF(ISERROR(VLOOKUP($A29,'[1]liste reference'!$B$7:$D$906,1,0)),"",VLOOKUP($A29,'[1]liste reference'!$B$7:$D$906,1,0)),VLOOKUP($A29,'[1]liste reference'!$A$7:$D$906,2,0))</f>
        <v>Pellia endiviifolia</v>
      </c>
      <c r="E29" s="217" t="e">
        <f aca="false">IF(D29="",0,VLOOKUP(D29,D$22:D28,1,0))</f>
        <v>#N/A</v>
      </c>
      <c r="F29" s="218" t="n">
        <f aca="false">($B29*$B$7+$C29*$C$7)/100</f>
        <v>0.004</v>
      </c>
      <c r="G29" s="219" t="str">
        <f aca="false">IF(A29="","",IF(ISERROR(VLOOKUP($A29,'[1]liste reference'!$A$7:$P$906,13,0)),IF(ISERROR(VLOOKUP($A29,'[1]liste reference'!$B$7:$P$906,12,0)),"    -",VLOOKUP($A29,'[1]liste reference'!$B$7:$P$906,12,0)),VLOOKUP($A29,'[1]liste reference'!$A$7:$P$906,13,0)))</f>
        <v>BRh</v>
      </c>
      <c r="H29" s="201" t="n">
        <f aca="false">IF(A29="","x",IF(ISERROR(VLOOKUP($A29,'[1]liste reference'!$A$7:$P$906,14,0)),IF(ISERROR(VLOOKUP($A29,'[1]liste reference'!$B$7:$P$906,13,0)),"x",VLOOKUP($A29,'[1]liste reference'!$B$7:$P$906,13,0)),VLOOKUP($A29,'[1]liste reference'!$A$7:$P$906,14,0)))</f>
        <v>4</v>
      </c>
      <c r="I29" s="220" t="str">
        <f aca="false">IF(ISNUMBER(H29),IF(ISERROR(VLOOKUP($A29,'[1]liste reference'!$A$7:$P$906,3,0)),IF(ISERROR(VLOOKUP($A29,'[1]liste reference'!$B$7:$P$906,2,0)),"",VLOOKUP($A29,'[1]liste reference'!$B$7:$P$906,2,0)),VLOOKUP($A29,'[1]liste reference'!$A$7:$P$906,3,0)),"")</f>
        <v/>
      </c>
      <c r="J29" s="203" t="str">
        <f aca="false">IF(ISNUMBER(H29),IF(ISERROR(VLOOKUP($A29,'[1]liste reference'!$A$7:$P$906,4,0)),IF(ISERROR(VLOOKUP($A29,'[1]liste reference'!$B$7:$P$906,3,0)),"",VLOOKUP($A29,'[1]liste reference'!$B$7:$P$906,3,0)),VLOOKUP($A29,'[1]liste reference'!$A$7:$P$906,4,0)),"")</f>
        <v/>
      </c>
      <c r="K29" s="221" t="str">
        <f aca="false">IF(A29="NEW.COD",AA29,IF(ISTEXT($E29),"DEJA SAISI !",IF(A29="","",IF(ISERROR(VLOOKUP($A29,'[1]liste reference'!$A$7:$D$906,2,0)),IF(ISERROR(VLOOKUP($A29,'[1]liste reference'!$B$7:$D$906,1,0)),"code non répertorié ou synonyme",VLOOKUP($A29,'[1]liste reference'!$B$7:$D$906,1,0)),VLOOKUP(A29,'[1]liste reference'!$A$7:$D$906,2,0)))))</f>
        <v>Pellia endiviifolia</v>
      </c>
      <c r="L29" s="222"/>
      <c r="M29" s="222"/>
      <c r="N29" s="222"/>
      <c r="O29" s="206"/>
      <c r="P29" s="207" t="n">
        <f aca="false">IF(ISTEXT(H29),"",(B29*$B$7/100)+(C29*$C$7/100))</f>
        <v>0.004</v>
      </c>
      <c r="Q29" s="208" t="n">
        <f aca="false">IF(OR(ISTEXT(H29),P29=0),"",IF(P29&lt;0.1,1,IF(P29&lt;1,2,IF(P29&lt;10,3,IF(P29&lt;50,4,IF(P29&gt;=50,5,""))))))</f>
        <v>1</v>
      </c>
      <c r="R29" s="208" t="n">
        <f aca="false">IF(ISERROR(Q29*I29),0,Q29*I29)</f>
        <v>0</v>
      </c>
      <c r="S29" s="208" t="n">
        <f aca="false">IF(ISERROR(Q29*I29*J29),0,Q29*I29*J29)</f>
        <v>0</v>
      </c>
      <c r="T29" s="223" t="n">
        <f aca="false">IF(ISERROR(Q29*J29),0,Q29*J29)</f>
        <v>0</v>
      </c>
      <c r="U29" s="209" t="str">
        <f aca="false">IF(AND(A29="",F29=0),"",IF(F29=0,"Il manque le(s) % de rec. !",""))</f>
        <v/>
      </c>
      <c r="V29" s="210"/>
      <c r="X29" s="211" t="str">
        <f aca="false">IF(A29="new.cod","NEW.COD",IF(AND((Y29=""),ISTEXT(A29)),A29,IF(Y29="","",INDEX('[1]liste reference'!$A$7:$A$906,Y29))))</f>
        <v>PEL.END</v>
      </c>
      <c r="Y29" s="9" t="n">
        <f aca="false">IF(ISERROR(MATCH(A29,'[1]liste reference'!$A$7:$A$906,0)),IF(ISERROR(MATCH(A29,'[1]liste reference'!$B$7:$B$906,0)),"",(MATCH(A29,'[1]liste reference'!$B$7:$B$906,0))),(MATCH(A29,'[1]liste reference'!$A$7:$A$906,0)))</f>
        <v>121</v>
      </c>
      <c r="Z29" s="212"/>
      <c r="AA29" s="213"/>
      <c r="BB29" s="9" t="n">
        <f aca="false">IF(A29="","",1)</f>
        <v>1</v>
      </c>
    </row>
    <row r="30" customFormat="false" ht="12.75" hidden="false" customHeight="false" outlineLevel="0" collapsed="false">
      <c r="A30" s="214" t="s">
        <v>78</v>
      </c>
      <c r="B30" s="215"/>
      <c r="C30" s="216" t="n">
        <v>0.0025</v>
      </c>
      <c r="D30" s="217" t="str">
        <f aca="false">IF(ISERROR(VLOOKUP($A30,'[1]liste reference'!$A$7:$D$906,2,0)),IF(ISERROR(VLOOKUP($A30,'[1]liste reference'!$B$7:$D$906,1,0)),"",VLOOKUP($A30,'[1]liste reference'!$B$7:$D$906,1,0)),VLOOKUP($A30,'[1]liste reference'!$A$7:$D$906,2,0))</f>
        <v>Amblystegium tenax (Hygroamblystegium tenax)    </v>
      </c>
      <c r="E30" s="217" t="e">
        <f aca="false">IF(D30="",0,VLOOKUP(D30,D$22:D29,1,0))</f>
        <v>#N/A</v>
      </c>
      <c r="F30" s="218" t="n">
        <f aca="false">($B30*$B$7+$C30*$C$7)/100</f>
        <v>0.001</v>
      </c>
      <c r="G30" s="219" t="str">
        <f aca="false">IF(A30="","",IF(ISERROR(VLOOKUP($A30,'[1]liste reference'!$A$7:$P$906,13,0)),IF(ISERROR(VLOOKUP($A30,'[1]liste reference'!$B$7:$P$906,12,0)),"    -",VLOOKUP($A30,'[1]liste reference'!$B$7:$P$906,12,0)),VLOOKUP($A30,'[1]liste reference'!$A$7:$P$906,13,0)))</f>
        <v>BRm</v>
      </c>
      <c r="H30" s="201" t="n">
        <f aca="false">IF(A30="","x",IF(ISERROR(VLOOKUP($A30,'[1]liste reference'!$A$7:$P$906,14,0)),IF(ISERROR(VLOOKUP($A30,'[1]liste reference'!$B$7:$P$906,13,0)),"x",VLOOKUP($A30,'[1]liste reference'!$B$7:$P$906,13,0)),VLOOKUP($A30,'[1]liste reference'!$A$7:$P$906,14,0)))</f>
        <v>5</v>
      </c>
      <c r="I30" s="220" t="n">
        <f aca="false">IF(ISNUMBER(H30),IF(ISERROR(VLOOKUP($A30,'[1]liste reference'!$A$7:$P$906,3,0)),IF(ISERROR(VLOOKUP($A30,'[1]liste reference'!$B$7:$P$906,2,0)),"",VLOOKUP($A30,'[1]liste reference'!$B$7:$P$906,2,0)),VLOOKUP($A30,'[1]liste reference'!$A$7:$P$906,3,0)),"")</f>
        <v>15</v>
      </c>
      <c r="J30" s="203" t="n">
        <f aca="false">IF(ISNUMBER(H30),IF(ISERROR(VLOOKUP($A30,'[1]liste reference'!$A$7:$P$906,4,0)),IF(ISERROR(VLOOKUP($A30,'[1]liste reference'!$B$7:$P$906,3,0)),"",VLOOKUP($A30,'[1]liste reference'!$B$7:$P$906,3,0)),VLOOKUP($A30,'[1]liste reference'!$A$7:$P$906,4,0)),"")</f>
        <v>2</v>
      </c>
      <c r="K30" s="221" t="str">
        <f aca="false">IF(A30="NEW.COD",AA30,IF(ISTEXT($E30),"DEJA SAISI !",IF(A30="","",IF(ISERROR(VLOOKUP($A30,'[1]liste reference'!$A$7:$D$906,2,0)),IF(ISERROR(VLOOKUP($A30,'[1]liste reference'!$B$7:$D$906,1,0)),"code non répertorié ou synonyme",VLOOKUP($A30,'[1]liste reference'!$B$7:$D$906,1,0)),VLOOKUP(A30,'[1]liste reference'!$A$7:$D$906,2,0)))))</f>
        <v>Amblystegium tenax (Hygroamblystegium tenax)    </v>
      </c>
      <c r="L30" s="222"/>
      <c r="M30" s="222"/>
      <c r="N30" s="222"/>
      <c r="O30" s="206"/>
      <c r="P30" s="207" t="n">
        <f aca="false">IF(ISTEXT(H30),"",(B30*$B$7/100)+(C30*$C$7/100))</f>
        <v>0.001</v>
      </c>
      <c r="Q30" s="208" t="n">
        <f aca="false">IF(OR(ISTEXT(H30),P30=0),"",IF(P30&lt;0.1,1,IF(P30&lt;1,2,IF(P30&lt;10,3,IF(P30&lt;50,4,IF(P30&gt;=50,5,""))))))</f>
        <v>1</v>
      </c>
      <c r="R30" s="208" t="n">
        <f aca="false">IF(ISERROR(Q30*I30),0,Q30*I30)</f>
        <v>15</v>
      </c>
      <c r="S30" s="208" t="n">
        <f aca="false">IF(ISERROR(Q30*I30*J30),0,Q30*I30*J30)</f>
        <v>30</v>
      </c>
      <c r="T30" s="223" t="n">
        <f aca="false">IF(ISERROR(Q30*J30),0,Q30*J30)</f>
        <v>2</v>
      </c>
      <c r="U30" s="209" t="str">
        <f aca="false">IF(AND(A30="",F30=0),"",IF(F30=0,"Il manque le(s) % de rec. !",""))</f>
        <v/>
      </c>
      <c r="V30" s="210"/>
      <c r="X30" s="211" t="str">
        <f aca="false">IF(A30="new.cod","NEW.COD",IF(AND((Y30=""),ISTEXT(A30)),A30,IF(Y30="","",INDEX('[1]liste reference'!$A$7:$A$906,Y30))))</f>
        <v>AMB.TEN</v>
      </c>
      <c r="Y30" s="9" t="n">
        <f aca="false">IF(ISERROR(MATCH(A30,'[1]liste reference'!$A$7:$A$906,0)),IF(ISERROR(MATCH(A30,'[1]liste reference'!$B$7:$B$906,0)),"",(MATCH(A30,'[1]liste reference'!$B$7:$B$906,0))),(MATCH(A30,'[1]liste reference'!$A$7:$A$906,0)))</f>
        <v>151</v>
      </c>
      <c r="Z30" s="212"/>
      <c r="AA30" s="213"/>
      <c r="BB30" s="9" t="n">
        <f aca="false">IF(A30="","",1)</f>
        <v>1</v>
      </c>
    </row>
    <row r="31" customFormat="false" ht="12.75" hidden="false" customHeight="false" outlineLevel="0" collapsed="false">
      <c r="A31" s="214" t="s">
        <v>79</v>
      </c>
      <c r="B31" s="215"/>
      <c r="C31" s="216" t="n">
        <v>0.0075</v>
      </c>
      <c r="D31" s="217" t="str">
        <f aca="false">IF(ISERROR(VLOOKUP($A31,'[1]liste reference'!$A$7:$D$906,2,0)),IF(ISERROR(VLOOKUP($A31,'[1]liste reference'!$B$7:$D$906,1,0)),"",VLOOKUP($A31,'[1]liste reference'!$B$7:$D$906,1,0)),VLOOKUP($A31,'[1]liste reference'!$A$7:$D$906,2,0))</f>
        <v>Orthotrichum rivulare</v>
      </c>
      <c r="E31" s="217" t="e">
        <f aca="false">IF(D31="",0,VLOOKUP(D31,D$22:D30,1,0))</f>
        <v>#N/A</v>
      </c>
      <c r="F31" s="218" t="n">
        <f aca="false">($B31*$B$7+$C31*$C$7)/100</f>
        <v>0.003</v>
      </c>
      <c r="G31" s="219" t="str">
        <f aca="false">IF(A31="","",IF(ISERROR(VLOOKUP($A31,'[1]liste reference'!$A$7:$P$906,13,0)),IF(ISERROR(VLOOKUP($A31,'[1]liste reference'!$B$7:$P$906,12,0)),"    -",VLOOKUP($A31,'[1]liste reference'!$B$7:$P$906,12,0)),VLOOKUP($A31,'[1]liste reference'!$A$7:$P$906,13,0)))</f>
        <v>BRm</v>
      </c>
      <c r="H31" s="201" t="n">
        <f aca="false">IF(A31="","x",IF(ISERROR(VLOOKUP($A31,'[1]liste reference'!$A$7:$P$906,14,0)),IF(ISERROR(VLOOKUP($A31,'[1]liste reference'!$B$7:$P$906,13,0)),"x",VLOOKUP($A31,'[1]liste reference'!$B$7:$P$906,13,0)),VLOOKUP($A31,'[1]liste reference'!$A$7:$P$906,14,0)))</f>
        <v>5</v>
      </c>
      <c r="I31" s="220" t="n">
        <f aca="false">IF(ISNUMBER(H31),IF(ISERROR(VLOOKUP($A31,'[1]liste reference'!$A$7:$P$906,3,0)),IF(ISERROR(VLOOKUP($A31,'[1]liste reference'!$B$7:$P$906,2,0)),"",VLOOKUP($A31,'[1]liste reference'!$B$7:$P$906,2,0)),VLOOKUP($A31,'[1]liste reference'!$A$7:$P$906,3,0)),"")</f>
        <v>15</v>
      </c>
      <c r="J31" s="203" t="n">
        <f aca="false">IF(ISNUMBER(H31),IF(ISERROR(VLOOKUP($A31,'[1]liste reference'!$A$7:$P$906,4,0)),IF(ISERROR(VLOOKUP($A31,'[1]liste reference'!$B$7:$P$906,3,0)),"",VLOOKUP($A31,'[1]liste reference'!$B$7:$P$906,3,0)),VLOOKUP($A31,'[1]liste reference'!$A$7:$P$906,4,0)),"")</f>
        <v>3</v>
      </c>
      <c r="K31" s="221" t="str">
        <f aca="false">IF(A31="NEW.COD",AA31,IF(ISTEXT($E31),"DEJA SAISI !",IF(A31="","",IF(ISERROR(VLOOKUP($A31,'[1]liste reference'!$A$7:$D$906,2,0)),IF(ISERROR(VLOOKUP($A31,'[1]liste reference'!$B$7:$D$906,1,0)),"code non répertorié ou synonyme",VLOOKUP($A31,'[1]liste reference'!$B$7:$D$906,1,0)),VLOOKUP(A31,'[1]liste reference'!$A$7:$D$906,2,0)))))</f>
        <v>Orthotrichum rivulare</v>
      </c>
      <c r="L31" s="222"/>
      <c r="M31" s="222"/>
      <c r="N31" s="222"/>
      <c r="O31" s="206"/>
      <c r="P31" s="207" t="n">
        <f aca="false">IF(ISTEXT(H31),"",(B31*$B$7/100)+(C31*$C$7/100))</f>
        <v>0.003</v>
      </c>
      <c r="Q31" s="208" t="n">
        <f aca="false">IF(OR(ISTEXT(H31),P31=0),"",IF(P31&lt;0.1,1,IF(P31&lt;1,2,IF(P31&lt;10,3,IF(P31&lt;50,4,IF(P31&gt;=50,5,""))))))</f>
        <v>1</v>
      </c>
      <c r="R31" s="208" t="n">
        <f aca="false">IF(ISERROR(Q31*I31),0,Q31*I31)</f>
        <v>15</v>
      </c>
      <c r="S31" s="208" t="n">
        <f aca="false">IF(ISERROR(Q31*I31*J31),0,Q31*I31*J31)</f>
        <v>45</v>
      </c>
      <c r="T31" s="223" t="n">
        <f aca="false">IF(ISERROR(Q31*J31),0,Q31*J31)</f>
        <v>3</v>
      </c>
      <c r="U31" s="209" t="str">
        <f aca="false">IF(AND(A31="",F31=0),"",IF(F31=0,"Il manque le(s) % de rec. !",""))</f>
        <v/>
      </c>
      <c r="V31" s="210"/>
      <c r="X31" s="211" t="str">
        <f aca="false">IF(A31="new.cod","NEW.COD",IF(AND((Y31=""),ISTEXT(A31)),A31,IF(Y31="","",INDEX('[1]liste reference'!$A$7:$A$906,Y31))))</f>
        <v>ORT.RIV</v>
      </c>
      <c r="Y31" s="9" t="n">
        <f aca="false">IF(ISERROR(MATCH(A31,'[1]liste reference'!$A$7:$A$906,0)),IF(ISERROR(MATCH(A31,'[1]liste reference'!$B$7:$B$906,0)),"",(MATCH(A31,'[1]liste reference'!$B$7:$B$906,0))),(MATCH(A31,'[1]liste reference'!$A$7:$A$906,0)))</f>
        <v>230</v>
      </c>
      <c r="Z31" s="212"/>
      <c r="AA31" s="213"/>
      <c r="BB31" s="9" t="n">
        <f aca="false">IF(A31="","",1)</f>
        <v>1</v>
      </c>
    </row>
    <row r="32" customFormat="false" ht="12.75" hidden="false" customHeight="false" outlineLevel="0" collapsed="false">
      <c r="A32" s="214" t="s">
        <v>80</v>
      </c>
      <c r="B32" s="215"/>
      <c r="C32" s="216" t="n">
        <v>0.01</v>
      </c>
      <c r="D32" s="217" t="str">
        <f aca="false">IF(ISERROR(VLOOKUP($A32,'[1]liste reference'!$A$7:$D$906,2,0)),IF(ISERROR(VLOOKUP($A32,'[1]liste reference'!$B$7:$D$906,1,0)),"",VLOOKUP($A32,'[1]liste reference'!$B$7:$D$906,1,0)),VLOOKUP($A32,'[1]liste reference'!$A$7:$D$906,2,0))</f>
        <v>Equisetum fluviatile</v>
      </c>
      <c r="E32" s="217" t="e">
        <f aca="false">IF(D32="",0,VLOOKUP(D32,D$22:D31,1,0))</f>
        <v>#N/A</v>
      </c>
      <c r="F32" s="218" t="n">
        <f aca="false">($B32*$B$7+$C32*$C$7)/100</f>
        <v>0.004</v>
      </c>
      <c r="G32" s="219" t="str">
        <f aca="false">IF(A32="","",IF(ISERROR(VLOOKUP($A32,'[1]liste reference'!$A$7:$P$906,13,0)),IF(ISERROR(VLOOKUP($A32,'[1]liste reference'!$B$7:$P$906,12,0)),"    -",VLOOKUP($A32,'[1]liste reference'!$B$7:$P$906,12,0)),VLOOKUP($A32,'[1]liste reference'!$A$7:$P$906,13,0)))</f>
        <v>PTE</v>
      </c>
      <c r="H32" s="201" t="n">
        <f aca="false">IF(A32="","x",IF(ISERROR(VLOOKUP($A32,'[1]liste reference'!$A$7:$P$906,14,0)),IF(ISERROR(VLOOKUP($A32,'[1]liste reference'!$B$7:$P$906,13,0)),"x",VLOOKUP($A32,'[1]liste reference'!$B$7:$P$906,13,0)),VLOOKUP($A32,'[1]liste reference'!$A$7:$P$906,14,0)))</f>
        <v>6</v>
      </c>
      <c r="I32" s="220" t="n">
        <f aca="false">IF(ISNUMBER(H32),IF(ISERROR(VLOOKUP($A32,'[1]liste reference'!$A$7:$P$906,3,0)),IF(ISERROR(VLOOKUP($A32,'[1]liste reference'!$B$7:$P$906,2,0)),"",VLOOKUP($A32,'[1]liste reference'!$B$7:$P$906,2,0)),VLOOKUP($A32,'[1]liste reference'!$A$7:$P$906,3,0)),"")</f>
        <v>12</v>
      </c>
      <c r="J32" s="203" t="n">
        <f aca="false">IF(ISNUMBER(H32),IF(ISERROR(VLOOKUP($A32,'[1]liste reference'!$A$7:$P$906,4,0)),IF(ISERROR(VLOOKUP($A32,'[1]liste reference'!$B$7:$P$906,3,0)),"",VLOOKUP($A32,'[1]liste reference'!$B$7:$P$906,3,0)),VLOOKUP($A32,'[1]liste reference'!$A$7:$P$906,4,0)),"")</f>
        <v>2</v>
      </c>
      <c r="K32" s="221" t="str">
        <f aca="false">IF(A32="NEW.COD",AA32,IF(ISTEXT($E32),"DEJA SAISI !",IF(A32="","",IF(ISERROR(VLOOKUP($A32,'[1]liste reference'!$A$7:$D$906,2,0)),IF(ISERROR(VLOOKUP($A32,'[1]liste reference'!$B$7:$D$906,1,0)),"code non répertorié ou synonyme",VLOOKUP($A32,'[1]liste reference'!$B$7:$D$906,1,0)),VLOOKUP(A32,'[1]liste reference'!$A$7:$D$906,2,0)))))</f>
        <v>Equisetum fluviatile</v>
      </c>
      <c r="L32" s="225"/>
      <c r="M32" s="225"/>
      <c r="N32" s="225"/>
      <c r="O32" s="226"/>
      <c r="P32" s="207" t="n">
        <f aca="false">IF(ISTEXT(H32),"",(B32*$B$7/100)+(C32*$C$7/100))</f>
        <v>0.004</v>
      </c>
      <c r="Q32" s="208" t="n">
        <f aca="false">IF(OR(ISTEXT(H32),P32=0),"",IF(P32&lt;0.1,1,IF(P32&lt;1,2,IF(P32&lt;10,3,IF(P32&lt;50,4,IF(P32&gt;=50,5,""))))))</f>
        <v>1</v>
      </c>
      <c r="R32" s="208" t="n">
        <f aca="false">IF(ISERROR(Q32*I32),0,Q32*I32)</f>
        <v>12</v>
      </c>
      <c r="S32" s="208" t="n">
        <f aca="false">IF(ISERROR(Q32*I32*J32),0,Q32*I32*J32)</f>
        <v>24</v>
      </c>
      <c r="T32" s="223" t="n">
        <f aca="false">IF(ISERROR(Q32*J32),0,Q32*J32)</f>
        <v>2</v>
      </c>
      <c r="U32" s="209" t="str">
        <f aca="false">IF(AND(A32="",F32=0),"",IF(F32=0,"Il manque le(s) % de rec. !",""))</f>
        <v/>
      </c>
      <c r="V32" s="210"/>
      <c r="X32" s="211" t="str">
        <f aca="false">IF(A32="new.cod","NEW.COD",IF(AND((Y32=""),ISTEXT(A32)),A32,IF(Y32="","",INDEX('[1]liste reference'!$A$7:$A$906,Y32))))</f>
        <v>EQU.FLU</v>
      </c>
      <c r="Y32" s="9" t="n">
        <f aca="false">IF(ISERROR(MATCH(A32,'[1]liste reference'!$A$7:$A$906,0)),IF(ISERROR(MATCH(A32,'[1]liste reference'!$B$7:$B$906,0)),"",(MATCH(A32,'[1]liste reference'!$B$7:$B$906,0))),(MATCH(A32,'[1]liste reference'!$A$7:$A$906,0)))</f>
        <v>280</v>
      </c>
      <c r="Z32" s="212"/>
      <c r="AA32" s="213"/>
      <c r="BB32" s="9" t="n">
        <f aca="false">IF(A32="","",1)</f>
        <v>1</v>
      </c>
    </row>
    <row r="33" customFormat="false" ht="12.75" hidden="false" customHeight="false" outlineLevel="0" collapsed="false">
      <c r="A33" s="214" t="s">
        <v>81</v>
      </c>
      <c r="B33" s="215"/>
      <c r="C33" s="216" t="n">
        <v>0.01</v>
      </c>
      <c r="D33" s="217" t="str">
        <f aca="false">IF(ISERROR(VLOOKUP($A33,'[1]liste reference'!$A$7:$D$906,2,0)),IF(ISERROR(VLOOKUP($A33,'[1]liste reference'!$B$7:$D$906,1,0)),"",VLOOKUP($A33,'[1]liste reference'!$B$7:$D$906,1,0)),VLOOKUP($A33,'[1]liste reference'!$A$7:$D$906,2,0))</f>
        <v>Phalaris arundinacea</v>
      </c>
      <c r="E33" s="217" t="e">
        <f aca="false">IF(D33="",0,VLOOKUP(D33,D$22:D32,1,0))</f>
        <v>#N/A</v>
      </c>
      <c r="F33" s="218" t="n">
        <f aca="false">($B33*$B$7+$C33*$C$7)/100</f>
        <v>0.004</v>
      </c>
      <c r="G33" s="219" t="str">
        <f aca="false">IF(A33="","",IF(ISERROR(VLOOKUP($A33,'[1]liste reference'!$A$7:$P$906,13,0)),IF(ISERROR(VLOOKUP($A33,'[1]liste reference'!$B$7:$P$906,12,0)),"    -",VLOOKUP($A33,'[1]liste reference'!$B$7:$P$906,12,0)),VLOOKUP($A33,'[1]liste reference'!$A$7:$P$906,13,0)))</f>
        <v>PHe</v>
      </c>
      <c r="H33" s="201" t="n">
        <f aca="false">IF(A33="","x",IF(ISERROR(VLOOKUP($A33,'[1]liste reference'!$A$7:$P$906,14,0)),IF(ISERROR(VLOOKUP($A33,'[1]liste reference'!$B$7:$P$906,13,0)),"x",VLOOKUP($A33,'[1]liste reference'!$B$7:$P$906,13,0)),VLOOKUP($A33,'[1]liste reference'!$A$7:$P$906,14,0)))</f>
        <v>8</v>
      </c>
      <c r="I33" s="220" t="n">
        <f aca="false">IF(ISNUMBER(H33),IF(ISERROR(VLOOKUP($A33,'[1]liste reference'!$A$7:$P$906,3,0)),IF(ISERROR(VLOOKUP($A33,'[1]liste reference'!$B$7:$P$906,2,0)),"",VLOOKUP($A33,'[1]liste reference'!$B$7:$P$906,2,0)),VLOOKUP($A33,'[1]liste reference'!$A$7:$P$906,3,0)),"")</f>
        <v>10</v>
      </c>
      <c r="J33" s="203" t="n">
        <f aca="false">IF(ISNUMBER(H33),IF(ISERROR(VLOOKUP($A33,'[1]liste reference'!$A$7:$P$906,4,0)),IF(ISERROR(VLOOKUP($A33,'[1]liste reference'!$B$7:$P$906,3,0)),"",VLOOKUP($A33,'[1]liste reference'!$B$7:$P$906,3,0)),VLOOKUP($A33,'[1]liste reference'!$A$7:$P$906,4,0)),"")</f>
        <v>1</v>
      </c>
      <c r="K33" s="221" t="str">
        <f aca="false">IF(A33="NEW.COD",AA33,IF(ISTEXT($E33),"DEJA SAISI !",IF(A33="","",IF(ISERROR(VLOOKUP($A33,'[1]liste reference'!$A$7:$D$906,2,0)),IF(ISERROR(VLOOKUP($A33,'[1]liste reference'!$B$7:$D$906,1,0)),"code non répertorié ou synonyme",VLOOKUP($A33,'[1]liste reference'!$B$7:$D$906,1,0)),VLOOKUP(A33,'[1]liste reference'!$A$7:$D$906,2,0)))))</f>
        <v>Phalaris arundinacea</v>
      </c>
      <c r="L33" s="222"/>
      <c r="M33" s="222"/>
      <c r="N33" s="222"/>
      <c r="O33" s="206"/>
      <c r="P33" s="207" t="n">
        <f aca="false">IF(ISTEXT(H33),"",(B33*$B$7/100)+(C33*$C$7/100))</f>
        <v>0.004</v>
      </c>
      <c r="Q33" s="208" t="n">
        <f aca="false">IF(OR(ISTEXT(H33),P33=0),"",IF(P33&lt;0.1,1,IF(P33&lt;1,2,IF(P33&lt;10,3,IF(P33&lt;50,4,IF(P33&gt;=50,5,""))))))</f>
        <v>1</v>
      </c>
      <c r="R33" s="208" t="n">
        <f aca="false">IF(ISERROR(Q33*I33),0,Q33*I33)</f>
        <v>10</v>
      </c>
      <c r="S33" s="208" t="n">
        <f aca="false">IF(ISERROR(Q33*I33*J33),0,Q33*I33*J33)</f>
        <v>10</v>
      </c>
      <c r="T33" s="223" t="n">
        <f aca="false">IF(ISERROR(Q33*J33),0,Q33*J33)</f>
        <v>1</v>
      </c>
      <c r="U33" s="209" t="str">
        <f aca="false">IF(AND(A33="",F33=0),"",IF(F33=0,"Il manque le(s) % de rec. !",""))</f>
        <v/>
      </c>
      <c r="V33" s="210"/>
      <c r="X33" s="211" t="str">
        <f aca="false">IF(A33="new.cod","NEW.COD",IF(AND((Y33=""),ISTEXT(A33)),A33,IF(Y33="","",INDEX('[1]liste reference'!$A$7:$A$906,Y33))))</f>
        <v>PHA.ARU</v>
      </c>
      <c r="Y33" s="9" t="n">
        <f aca="false">IF(ISERROR(MATCH(A33,'[1]liste reference'!$A$7:$A$906,0)),IF(ISERROR(MATCH(A33,'[1]liste reference'!$B$7:$B$906,0)),"",(MATCH(A33,'[1]liste reference'!$B$7:$B$906,0))),(MATCH(A33,'[1]liste reference'!$A$7:$A$906,0)))</f>
        <v>640</v>
      </c>
      <c r="Z33" s="212"/>
      <c r="AA33" s="213"/>
      <c r="BB33" s="9" t="n">
        <f aca="false">IF(A33="","",1)</f>
        <v>1</v>
      </c>
    </row>
    <row r="34" customFormat="false" ht="12.75" hidden="false" customHeight="false" outlineLevel="0" collapsed="false">
      <c r="A34" s="214"/>
      <c r="B34" s="215"/>
      <c r="C34" s="216"/>
      <c r="D34" s="217" t="str">
        <f aca="false">IF(ISERROR(VLOOKUP($A34,'[1]liste reference'!$A$7:$D$906,2,0)),IF(ISERROR(VLOOKUP($A34,'[1]liste reference'!$B$7:$D$906,1,0)),"",VLOOKUP($A34,'[1]liste reference'!$B$7:$D$906,1,0)),VLOOKUP($A34,'[1]liste reference'!$A$7:$D$906,2,0))</f>
        <v/>
      </c>
      <c r="E34" s="217" t="n">
        <f aca="false">IF(D34="",0,VLOOKUP(D34,D$22:D33,1,0))</f>
        <v>0</v>
      </c>
      <c r="F34" s="227" t="n">
        <f aca="false">($B34*$B$7+$C34*$C$7)/100</f>
        <v>0</v>
      </c>
      <c r="G34" s="219" t="str">
        <f aca="false">IF(A34="","",IF(ISERROR(VLOOKUP($A34,'[1]liste reference'!$A$7:$P$906,13,0)),IF(ISERROR(VLOOKUP($A34,'[1]liste reference'!$B$7:$P$906,12,0)),"    -",VLOOKUP($A34,'[1]liste reference'!$B$7:$P$906,12,0)),VLOOKUP($A34,'[1]liste reference'!$A$7:$P$906,13,0)))</f>
        <v/>
      </c>
      <c r="H34" s="201" t="str">
        <f aca="false">IF(A34="","x",IF(ISERROR(VLOOKUP($A34,'[1]liste reference'!$A$7:$P$906,14,0)),IF(ISERROR(VLOOKUP($A34,'[1]liste reference'!$B$7:$P$906,13,0)),"x",VLOOKUP($A34,'[1]liste reference'!$B$7:$P$906,13,0)),VLOOKUP($A34,'[1]liste reference'!$A$7:$P$906,14,0)))</f>
        <v>x</v>
      </c>
      <c r="I34" s="220" t="str">
        <f aca="false">IF(ISNUMBER(H34),IF(ISERROR(VLOOKUP($A34,'[1]liste reference'!$A$7:$P$906,3,0)),IF(ISERROR(VLOOKUP($A34,'[1]liste reference'!$B$7:$P$906,2,0)),"",VLOOKUP($A34,'[1]liste reference'!$B$7:$P$906,2,0)),VLOOKUP($A34,'[1]liste reference'!$A$7:$P$906,3,0)),"")</f>
        <v/>
      </c>
      <c r="J34" s="203" t="str">
        <f aca="false">IF(ISNUMBER(H34),IF(ISERROR(VLOOKUP($A34,'[1]liste reference'!$A$7:$P$906,4,0)),IF(ISERROR(VLOOKUP($A34,'[1]liste reference'!$B$7:$P$906,3,0)),"",VLOOKUP($A34,'[1]liste reference'!$B$7:$P$906,3,0)),VLOOKUP($A34,'[1]liste reference'!$A$7:$P$906,4,0)),"")</f>
        <v/>
      </c>
      <c r="K34" s="221" t="str">
        <f aca="false">IF(A34="NEW.COD",AA34,IF(ISTEXT($E34),"DEJA SAISI !",IF(A34="","",IF(ISERROR(VLOOKUP($A34,'[1]liste reference'!$A$7:$D$906,2,0)),IF(ISERROR(VLOOKUP($A34,'[1]liste reference'!$B$7:$D$906,1,0)),"code non répertorié ou synonyme",VLOOKUP($A34,'[1]liste reference'!$B$7:$D$906,1,0)),VLOOKUP(A34,'[1]liste reference'!$A$7:$D$906,2,0)))))</f>
        <v/>
      </c>
      <c r="L34" s="222"/>
      <c r="M34" s="222"/>
      <c r="N34" s="222"/>
      <c r="O34" s="206"/>
      <c r="P34" s="207" t="str">
        <f aca="false">IF(ISTEXT(H34),"",(B34*$B$7/100)+(C34*$C$7/100))</f>
        <v/>
      </c>
      <c r="Q34" s="208" t="str">
        <f aca="false">IF(OR(ISTEXT(H34),P34=0),"",IF(P34&lt;0.1,1,IF(P34&lt;1,2,IF(P34&lt;10,3,IF(P34&lt;50,4,IF(P34&gt;=50,5,""))))))</f>
        <v/>
      </c>
      <c r="R34" s="208" t="n">
        <f aca="false">IF(ISERROR(Q34*I34),0,Q34*I34)</f>
        <v>0</v>
      </c>
      <c r="S34" s="208" t="n">
        <f aca="false">IF(ISERROR(Q34*I34*J34),0,Q34*I34*J34)</f>
        <v>0</v>
      </c>
      <c r="T34" s="223" t="n">
        <f aca="false">IF(ISERROR(Q34*J34),0,Q34*J34)</f>
        <v>0</v>
      </c>
      <c r="U34" s="209" t="str">
        <f aca="false">IF(AND(A34="",F34=0),"",IF(F34=0,"Il manque le(s) % de rec. !",""))</f>
        <v/>
      </c>
      <c r="V34" s="210"/>
      <c r="X34" s="211" t="str">
        <f aca="false">IF(A34="new.cod","NEW.COD",IF(AND((Y34=""),ISTEXT(A34)),A34,IF(Y34="","",INDEX('[1]liste reference'!$A$7:$A$906,Y34))))</f>
        <v/>
      </c>
      <c r="Y34" s="9" t="str">
        <f aca="false">IF(ISERROR(MATCH(A34,'[1]liste reference'!$A$7:$A$906,0)),IF(ISERROR(MATCH(A34,'[1]liste reference'!$B$7:$B$906,0)),"",(MATCH(A34,'[1]liste reference'!$B$7:$B$906,0))),(MATCH(A34,'[1]liste reference'!$A$7:$A$906,0)))</f>
        <v/>
      </c>
      <c r="Z34" s="212"/>
      <c r="AA34" s="213"/>
      <c r="BB34" s="9" t="str">
        <f aca="false">IF(A34="","",1)</f>
        <v/>
      </c>
    </row>
    <row r="35" customFormat="false" ht="12.75" hidden="false" customHeight="false" outlineLevel="0" collapsed="false">
      <c r="A35" s="214"/>
      <c r="B35" s="215"/>
      <c r="C35" s="216"/>
      <c r="D35" s="217" t="str">
        <f aca="false">IF(ISERROR(VLOOKUP($A35,'[1]liste reference'!$A$7:$D$906,2,0)),IF(ISERROR(VLOOKUP($A35,'[1]liste reference'!$B$7:$D$906,1,0)),"",VLOOKUP($A35,'[1]liste reference'!$B$7:$D$906,1,0)),VLOOKUP($A35,'[1]liste reference'!$A$7:$D$906,2,0))</f>
        <v/>
      </c>
      <c r="E35" s="217" t="n">
        <f aca="false">IF(D35="",0,VLOOKUP(D35,D$22:D34,1,0))</f>
        <v>0</v>
      </c>
      <c r="F35" s="227" t="n">
        <f aca="false">($B35*$B$7+$C35*$C$7)/100</f>
        <v>0</v>
      </c>
      <c r="G35" s="219" t="str">
        <f aca="false">IF(A35="","",IF(ISERROR(VLOOKUP($A35,'[1]liste reference'!$A$7:$P$906,13,0)),IF(ISERROR(VLOOKUP($A35,'[1]liste reference'!$B$7:$P$906,12,0)),"    -",VLOOKUP($A35,'[1]liste reference'!$B$7:$P$906,12,0)),VLOOKUP($A35,'[1]liste reference'!$A$7:$P$906,13,0)))</f>
        <v/>
      </c>
      <c r="H35" s="201" t="str">
        <f aca="false">IF(A35="","x",IF(ISERROR(VLOOKUP($A35,'[1]liste reference'!$A$7:$P$906,14,0)),IF(ISERROR(VLOOKUP($A35,'[1]liste reference'!$B$7:$P$906,13,0)),"x",VLOOKUP($A35,'[1]liste reference'!$B$7:$P$906,13,0)),VLOOKUP($A35,'[1]liste reference'!$A$7:$P$906,14,0)))</f>
        <v>x</v>
      </c>
      <c r="I35" s="220" t="str">
        <f aca="false">IF(ISNUMBER(H35),IF(ISERROR(VLOOKUP($A35,'[1]liste reference'!$A$7:$P$906,3,0)),IF(ISERROR(VLOOKUP($A35,'[1]liste reference'!$B$7:$P$906,2,0)),"",VLOOKUP($A35,'[1]liste reference'!$B$7:$P$906,2,0)),VLOOKUP($A35,'[1]liste reference'!$A$7:$P$906,3,0)),"")</f>
        <v/>
      </c>
      <c r="J35" s="203" t="str">
        <f aca="false">IF(ISNUMBER(H35),IF(ISERROR(VLOOKUP($A35,'[1]liste reference'!$A$7:$P$906,4,0)),IF(ISERROR(VLOOKUP($A35,'[1]liste reference'!$B$7:$P$906,3,0)),"",VLOOKUP($A35,'[1]liste reference'!$B$7:$P$906,3,0)),VLOOKUP($A35,'[1]liste reference'!$A$7:$P$906,4,0)),"")</f>
        <v/>
      </c>
      <c r="K35" s="221" t="str">
        <f aca="false">IF(A35="NEW.COD",AA35,IF(ISTEXT($E35),"DEJA SAISI !",IF(A35="","",IF(ISERROR(VLOOKUP($A35,'[1]liste reference'!$A$7:$D$906,2,0)),IF(ISERROR(VLOOKUP($A35,'[1]liste reference'!$B$7:$D$906,1,0)),"code non répertorié ou synonyme",VLOOKUP($A35,'[1]liste reference'!$B$7:$D$906,1,0)),VLOOKUP(A35,'[1]liste reference'!$A$7:$D$906,2,0)))))</f>
        <v/>
      </c>
      <c r="L35" s="222"/>
      <c r="M35" s="222"/>
      <c r="N35" s="222"/>
      <c r="O35" s="206"/>
      <c r="P35" s="207" t="str">
        <f aca="false">IF(ISTEXT(H35),"",(B35*$B$7/100)+(C35*$C$7/100))</f>
        <v/>
      </c>
      <c r="Q35" s="208" t="str">
        <f aca="false">IF(OR(ISTEXT(H35),P35=0),"",IF(P35&lt;0.1,1,IF(P35&lt;1,2,IF(P35&lt;10,3,IF(P35&lt;50,4,IF(P35&gt;=50,5,""))))))</f>
        <v/>
      </c>
      <c r="R35" s="208" t="n">
        <f aca="false">IF(ISERROR(Q35*I35),0,Q35*I35)</f>
        <v>0</v>
      </c>
      <c r="S35" s="208" t="n">
        <f aca="false">IF(ISERROR(Q35*I35*J35),0,Q35*I35*J35)</f>
        <v>0</v>
      </c>
      <c r="T35" s="223" t="n">
        <f aca="false">IF(ISERROR(Q35*J35),0,Q35*J35)</f>
        <v>0</v>
      </c>
      <c r="U35" s="209" t="str">
        <f aca="false">IF(AND(A35="",F35=0),"",IF(F35=0,"Il manque le(s) % de rec. !",""))</f>
        <v/>
      </c>
      <c r="V35" s="210"/>
      <c r="X35" s="211" t="str">
        <f aca="false">IF(A35="new.cod","NEW.COD",IF(AND((Y35=""),ISTEXT(A35)),A35,IF(Y35="","",INDEX('[1]liste reference'!$A$7:$A$906,Y35))))</f>
        <v/>
      </c>
      <c r="Y35" s="9" t="str">
        <f aca="false">IF(ISERROR(MATCH(A35,'[1]liste reference'!$A$7:$A$906,0)),IF(ISERROR(MATCH(A35,'[1]liste reference'!$B$7:$B$906,0)),"",(MATCH(A35,'[1]liste reference'!$B$7:$B$906,0))),(MATCH(A35,'[1]liste reference'!$A$7:$A$906,0)))</f>
        <v/>
      </c>
      <c r="Z35" s="212"/>
      <c r="AA35" s="213"/>
      <c r="BB35" s="9" t="str">
        <f aca="false">IF(A35="","",1)</f>
        <v/>
      </c>
    </row>
    <row r="36" customFormat="false" ht="12.75" hidden="false" customHeight="false" outlineLevel="0" collapsed="false">
      <c r="A36" s="214"/>
      <c r="B36" s="215"/>
      <c r="C36" s="216"/>
      <c r="D36" s="217" t="str">
        <f aca="false">IF(ISERROR(VLOOKUP($A36,'[1]liste reference'!$A$7:$D$906,2,0)),IF(ISERROR(VLOOKUP($A36,'[1]liste reference'!$B$7:$D$906,1,0)),"",VLOOKUP($A36,'[1]liste reference'!$B$7:$D$906,1,0)),VLOOKUP($A36,'[1]liste reference'!$A$7:$D$906,2,0))</f>
        <v/>
      </c>
      <c r="E36" s="217" t="n">
        <f aca="false">IF(D36="",0,VLOOKUP(D36,D$22:D35,1,0))</f>
        <v>0</v>
      </c>
      <c r="F36" s="227" t="n">
        <f aca="false">($B36*$B$7+$C36*$C$7)/100</f>
        <v>0</v>
      </c>
      <c r="G36" s="219" t="str">
        <f aca="false">IF(A36="","",IF(ISERROR(VLOOKUP($A36,'[1]liste reference'!$A$7:$P$906,13,0)),IF(ISERROR(VLOOKUP($A36,'[1]liste reference'!$B$7:$P$906,12,0)),"    -",VLOOKUP($A36,'[1]liste reference'!$B$7:$P$906,12,0)),VLOOKUP($A36,'[1]liste reference'!$A$7:$P$906,13,0)))</f>
        <v/>
      </c>
      <c r="H36" s="201" t="str">
        <f aca="false">IF(A36="","x",IF(ISERROR(VLOOKUP($A36,'[1]liste reference'!$A$7:$P$906,14,0)),IF(ISERROR(VLOOKUP($A36,'[1]liste reference'!$B$7:$P$906,13,0)),"x",VLOOKUP($A36,'[1]liste reference'!$B$7:$P$906,13,0)),VLOOKUP($A36,'[1]liste reference'!$A$7:$P$906,14,0)))</f>
        <v>x</v>
      </c>
      <c r="I36" s="220" t="str">
        <f aca="false">IF(ISNUMBER(H36),IF(ISERROR(VLOOKUP($A36,'[1]liste reference'!$A$7:$P$906,3,0)),IF(ISERROR(VLOOKUP($A36,'[1]liste reference'!$B$7:$P$906,2,0)),"",VLOOKUP($A36,'[1]liste reference'!$B$7:$P$906,2,0)),VLOOKUP($A36,'[1]liste reference'!$A$7:$P$906,3,0)),"")</f>
        <v/>
      </c>
      <c r="J36" s="203" t="str">
        <f aca="false">IF(ISNUMBER(H36),IF(ISERROR(VLOOKUP($A36,'[1]liste reference'!$A$7:$P$906,4,0)),IF(ISERROR(VLOOKUP($A36,'[1]liste reference'!$B$7:$P$906,3,0)),"",VLOOKUP($A36,'[1]liste reference'!$B$7:$P$906,3,0)),VLOOKUP($A36,'[1]liste reference'!$A$7:$P$906,4,0)),"")</f>
        <v/>
      </c>
      <c r="K36" s="221" t="str">
        <f aca="false">IF(A36="NEW.COD",AA36,IF(ISTEXT($E36),"DEJA SAISI !",IF(A36="","",IF(ISERROR(VLOOKUP($A36,'[1]liste reference'!$A$7:$D$906,2,0)),IF(ISERROR(VLOOKUP($A36,'[1]liste reference'!$B$7:$D$906,1,0)),"code non répertorié ou synonyme",VLOOKUP($A36,'[1]liste reference'!$B$7:$D$906,1,0)),VLOOKUP(A36,'[1]liste reference'!$A$7:$D$906,2,0)))))</f>
        <v/>
      </c>
      <c r="L36" s="222"/>
      <c r="M36" s="222"/>
      <c r="N36" s="222"/>
      <c r="O36" s="206"/>
      <c r="P36" s="207" t="str">
        <f aca="false">IF(ISTEXT(H36),"",(B36*$B$7/100)+(C36*$C$7/100))</f>
        <v/>
      </c>
      <c r="Q36" s="208" t="str">
        <f aca="false">IF(OR(ISTEXT(H36),P36=0),"",IF(P36&lt;0.1,1,IF(P36&lt;1,2,IF(P36&lt;10,3,IF(P36&lt;50,4,IF(P36&gt;=50,5,""))))))</f>
        <v/>
      </c>
      <c r="R36" s="208" t="n">
        <f aca="false">IF(ISERROR(Q36*I36),0,Q36*I36)</f>
        <v>0</v>
      </c>
      <c r="S36" s="208" t="n">
        <f aca="false">IF(ISERROR(Q36*I36*J36),0,Q36*I36*J36)</f>
        <v>0</v>
      </c>
      <c r="T36" s="223" t="n">
        <f aca="false">IF(ISERROR(Q36*J36),0,Q36*J36)</f>
        <v>0</v>
      </c>
      <c r="U36" s="209" t="str">
        <f aca="false">IF(AND(A36="",F36=0),"",IF(F36=0,"Il manque le(s) % de rec. !",""))</f>
        <v/>
      </c>
      <c r="V36" s="210"/>
      <c r="W36" s="210"/>
      <c r="X36" s="211" t="str">
        <f aca="false">IF(A36="new.cod","NEW.COD",IF(AND((Y36=""),ISTEXT(A36)),A36,IF(Y36="","",INDEX('[1]liste reference'!$A$7:$A$906,Y36))))</f>
        <v/>
      </c>
      <c r="Y36" s="9" t="str">
        <f aca="false">IF(ISERROR(MATCH(A36,'[1]liste reference'!$A$7:$A$906,0)),IF(ISERROR(MATCH(A36,'[1]liste reference'!$B$7:$B$906,0)),"",(MATCH(A36,'[1]liste reference'!$B$7:$B$906,0))),(MATCH(A36,'[1]liste reference'!$A$7:$A$906,0)))</f>
        <v/>
      </c>
      <c r="Z36" s="212"/>
      <c r="AA36" s="213"/>
      <c r="BB36" s="9" t="str">
        <f aca="false">IF(A36="","",1)</f>
        <v/>
      </c>
    </row>
    <row r="37" customFormat="false" ht="12.75" hidden="false" customHeight="false" outlineLevel="0" collapsed="false">
      <c r="A37" s="214"/>
      <c r="B37" s="215"/>
      <c r="C37" s="216"/>
      <c r="D37" s="217" t="str">
        <f aca="false">IF(ISERROR(VLOOKUP($A37,'[1]liste reference'!$A$7:$D$906,2,0)),IF(ISERROR(VLOOKUP($A37,'[1]liste reference'!$B$7:$D$906,1,0)),"",VLOOKUP($A37,'[1]liste reference'!$B$7:$D$906,1,0)),VLOOKUP($A37,'[1]liste reference'!$A$7:$D$906,2,0))</f>
        <v/>
      </c>
      <c r="E37" s="217" t="n">
        <f aca="false">IF(D37="",0,VLOOKUP(D37,D$22:D36,1,0))</f>
        <v>0</v>
      </c>
      <c r="F37" s="227" t="n">
        <f aca="false">($B37*$B$7+$C37*$C$7)/100</f>
        <v>0</v>
      </c>
      <c r="G37" s="219" t="str">
        <f aca="false">IF(A37="","",IF(ISERROR(VLOOKUP($A37,'[1]liste reference'!$A$7:$P$906,13,0)),IF(ISERROR(VLOOKUP($A37,'[1]liste reference'!$B$7:$P$906,12,0)),"    -",VLOOKUP($A37,'[1]liste reference'!$B$7:$P$906,12,0)),VLOOKUP($A37,'[1]liste reference'!$A$7:$P$906,13,0)))</f>
        <v/>
      </c>
      <c r="H37" s="201" t="str">
        <f aca="false">IF(A37="","x",IF(ISERROR(VLOOKUP($A37,'[1]liste reference'!$A$7:$P$906,14,0)),IF(ISERROR(VLOOKUP($A37,'[1]liste reference'!$B$7:$P$906,13,0)),"x",VLOOKUP($A37,'[1]liste reference'!$B$7:$P$906,13,0)),VLOOKUP($A37,'[1]liste reference'!$A$7:$P$906,14,0)))</f>
        <v>x</v>
      </c>
      <c r="I37" s="220" t="str">
        <f aca="false">IF(ISNUMBER(H37),IF(ISERROR(VLOOKUP($A37,'[1]liste reference'!$A$7:$P$906,3,0)),IF(ISERROR(VLOOKUP($A37,'[1]liste reference'!$B$7:$P$906,2,0)),"",VLOOKUP($A37,'[1]liste reference'!$B$7:$P$906,2,0)),VLOOKUP($A37,'[1]liste reference'!$A$7:$P$906,3,0)),"")</f>
        <v/>
      </c>
      <c r="J37" s="203" t="str">
        <f aca="false">IF(ISNUMBER(H37),IF(ISERROR(VLOOKUP($A37,'[1]liste reference'!$A$7:$P$906,4,0)),IF(ISERROR(VLOOKUP($A37,'[1]liste reference'!$B$7:$P$906,3,0)),"",VLOOKUP($A37,'[1]liste reference'!$B$7:$P$906,3,0)),VLOOKUP($A37,'[1]liste reference'!$A$7:$P$906,4,0)),"")</f>
        <v/>
      </c>
      <c r="K37" s="221" t="str">
        <f aca="false">IF(A37="NEW.COD",AA37,IF(ISTEXT($E37),"DEJA SAISI !",IF(A37="","",IF(ISERROR(VLOOKUP($A37,'[1]liste reference'!$A$7:$D$906,2,0)),IF(ISERROR(VLOOKUP($A37,'[1]liste reference'!$B$7:$D$906,1,0)),"code non répertorié ou synonyme",VLOOKUP($A37,'[1]liste reference'!$B$7:$D$906,1,0)),VLOOKUP(A37,'[1]liste reference'!$A$7:$D$906,2,0)))))</f>
        <v/>
      </c>
      <c r="L37" s="222"/>
      <c r="M37" s="222"/>
      <c r="N37" s="222"/>
      <c r="O37" s="206"/>
      <c r="P37" s="207" t="str">
        <f aca="false">IF(ISTEXT(H37),"",(B37*$B$7/100)+(C37*$C$7/100))</f>
        <v/>
      </c>
      <c r="Q37" s="208" t="str">
        <f aca="false">IF(OR(ISTEXT(H37),P37=0),"",IF(P37&lt;0.1,1,IF(P37&lt;1,2,IF(P37&lt;10,3,IF(P37&lt;50,4,IF(P37&gt;=50,5,""))))))</f>
        <v/>
      </c>
      <c r="R37" s="208" t="n">
        <f aca="false">IF(ISERROR(Q37*I37),0,Q37*I37)</f>
        <v>0</v>
      </c>
      <c r="S37" s="208" t="n">
        <f aca="false">IF(ISERROR(Q37*I37*J37),0,Q37*I37*J37)</f>
        <v>0</v>
      </c>
      <c r="T37" s="223" t="n">
        <f aca="false">IF(ISERROR(Q37*J37),0,Q37*J37)</f>
        <v>0</v>
      </c>
      <c r="U37" s="209" t="str">
        <f aca="false">IF(AND(A37="",F37=0),"",IF(F37=0,"Il manque le(s) % de rec. !",""))</f>
        <v/>
      </c>
      <c r="V37" s="228"/>
      <c r="X37" s="211" t="str">
        <f aca="false">IF(A37="new.cod","NEW.COD",IF(AND((Y37=""),ISTEXT(A37)),A37,IF(Y37="","",INDEX('[1]liste reference'!$A$7:$A$906,Y37))))</f>
        <v/>
      </c>
      <c r="Y37" s="9" t="str">
        <f aca="false">IF(ISERROR(MATCH(A37,'[1]liste reference'!$A$7:$A$906,0)),IF(ISERROR(MATCH(A37,'[1]liste reference'!$B$7:$B$906,0)),"",(MATCH(A37,'[1]liste reference'!$B$7:$B$906,0))),(MATCH(A37,'[1]liste reference'!$A$7:$A$906,0)))</f>
        <v/>
      </c>
      <c r="Z37" s="212"/>
      <c r="AA37" s="213"/>
      <c r="BB37" s="9" t="str">
        <f aca="false">IF(A37="","",1)</f>
        <v/>
      </c>
    </row>
    <row r="38" customFormat="false" ht="12.75" hidden="false" customHeight="false" outlineLevel="0" collapsed="false">
      <c r="A38" s="214"/>
      <c r="B38" s="215"/>
      <c r="C38" s="216"/>
      <c r="D38" s="217" t="str">
        <f aca="false">IF(ISERROR(VLOOKUP($A38,'[1]liste reference'!$A$7:$D$906,2,0)),IF(ISERROR(VLOOKUP($A38,'[1]liste reference'!$B$7:$D$906,1,0)),"",VLOOKUP($A38,'[1]liste reference'!$B$7:$D$906,1,0)),VLOOKUP($A38,'[1]liste reference'!$A$7:$D$906,2,0))</f>
        <v/>
      </c>
      <c r="E38" s="217" t="n">
        <f aca="false">IF(D38="",0,VLOOKUP(D38,D$22:D37,1,0))</f>
        <v>0</v>
      </c>
      <c r="F38" s="227" t="n">
        <f aca="false">($B38*$B$7+$C38*$C$7)/100</f>
        <v>0</v>
      </c>
      <c r="G38" s="219" t="str">
        <f aca="false">IF(A38="","",IF(ISERROR(VLOOKUP($A38,'[1]liste reference'!$A$7:$P$906,13,0)),IF(ISERROR(VLOOKUP($A38,'[1]liste reference'!$B$7:$P$906,12,0)),"    -",VLOOKUP($A38,'[1]liste reference'!$B$7:$P$906,12,0)),VLOOKUP($A38,'[1]liste reference'!$A$7:$P$906,13,0)))</f>
        <v/>
      </c>
      <c r="H38" s="201" t="str">
        <f aca="false">IF(A38="","x",IF(ISERROR(VLOOKUP($A38,'[1]liste reference'!$A$7:$P$906,14,0)),IF(ISERROR(VLOOKUP($A38,'[1]liste reference'!$B$7:$P$906,13,0)),"x",VLOOKUP($A38,'[1]liste reference'!$B$7:$P$906,13,0)),VLOOKUP($A38,'[1]liste reference'!$A$7:$P$906,14,0)))</f>
        <v>x</v>
      </c>
      <c r="I38" s="220" t="str">
        <f aca="false">IF(ISNUMBER(H38),IF(ISERROR(VLOOKUP($A38,'[1]liste reference'!$A$7:$P$906,3,0)),IF(ISERROR(VLOOKUP($A38,'[1]liste reference'!$B$7:$P$906,2,0)),"",VLOOKUP($A38,'[1]liste reference'!$B$7:$P$906,2,0)),VLOOKUP($A38,'[1]liste reference'!$A$7:$P$906,3,0)),"")</f>
        <v/>
      </c>
      <c r="J38" s="203" t="str">
        <f aca="false">IF(ISNUMBER(H38),IF(ISERROR(VLOOKUP($A38,'[1]liste reference'!$A$7:$P$906,4,0)),IF(ISERROR(VLOOKUP($A38,'[1]liste reference'!$B$7:$P$906,3,0)),"",VLOOKUP($A38,'[1]liste reference'!$B$7:$P$906,3,0)),VLOOKUP($A38,'[1]liste reference'!$A$7:$P$906,4,0)),"")</f>
        <v/>
      </c>
      <c r="K38" s="221" t="str">
        <f aca="false">IF(A38="NEW.COD",AA38,IF(ISTEXT($E38),"DEJA SAISI !",IF(A38="","",IF(ISERROR(VLOOKUP($A38,'[1]liste reference'!$A$7:$D$906,2,0)),IF(ISERROR(VLOOKUP($A38,'[1]liste reference'!$B$7:$D$906,1,0)),"code non répertorié ou synonyme",VLOOKUP($A38,'[1]liste reference'!$B$7:$D$906,1,0)),VLOOKUP(A38,'[1]liste reference'!$A$7:$D$906,2,0)))))</f>
        <v/>
      </c>
      <c r="L38" s="222"/>
      <c r="M38" s="222"/>
      <c r="N38" s="222"/>
      <c r="O38" s="206"/>
      <c r="P38" s="207" t="str">
        <f aca="false">IF(ISTEXT(H38),"",(B38*$B$7/100)+(C38*$C$7/100))</f>
        <v/>
      </c>
      <c r="Q38" s="208" t="str">
        <f aca="false">IF(OR(ISTEXT(H38),P38=0),"",IF(P38&lt;0.1,1,IF(P38&lt;1,2,IF(P38&lt;10,3,IF(P38&lt;50,4,IF(P38&gt;=50,5,""))))))</f>
        <v/>
      </c>
      <c r="R38" s="208" t="n">
        <f aca="false">IF(ISERROR(Q38*I38),0,Q38*I38)</f>
        <v>0</v>
      </c>
      <c r="S38" s="208" t="n">
        <f aca="false">IF(ISERROR(Q38*I38*J38),0,Q38*I38*J38)</f>
        <v>0</v>
      </c>
      <c r="T38" s="223" t="n">
        <f aca="false">IF(ISERROR(Q38*J38),0,Q38*J38)</f>
        <v>0</v>
      </c>
      <c r="U38" s="209" t="str">
        <f aca="false">IF(AND(A38="",F38=0),"",IF(F38=0,"Il manque le(s) % de rec. !",""))</f>
        <v/>
      </c>
      <c r="V38" s="210"/>
      <c r="X38" s="211" t="str">
        <f aca="false">IF(A38="new.cod","NEW.COD",IF(AND((Y38=""),ISTEXT(A38)),A38,IF(Y38="","",INDEX('[1]liste reference'!$A$7:$A$906,Y38))))</f>
        <v/>
      </c>
      <c r="Y38" s="9" t="str">
        <f aca="false">IF(ISERROR(MATCH(A38,'[1]liste reference'!$A$7:$A$906,0)),IF(ISERROR(MATCH(A38,'[1]liste reference'!$B$7:$B$906,0)),"",(MATCH(A38,'[1]liste reference'!$B$7:$B$906,0))),(MATCH(A38,'[1]liste reference'!$A$7:$A$906,0)))</f>
        <v/>
      </c>
      <c r="Z38" s="212"/>
      <c r="AA38" s="213"/>
      <c r="BB38" s="9" t="str">
        <f aca="false">IF(A38="","",1)</f>
        <v/>
      </c>
    </row>
    <row r="39" customFormat="false" ht="12.75" hidden="false" customHeight="false" outlineLevel="0" collapsed="false">
      <c r="A39" s="214"/>
      <c r="B39" s="215"/>
      <c r="C39" s="216"/>
      <c r="D39" s="217" t="str">
        <f aca="false">IF(ISERROR(VLOOKUP($A39,'[1]liste reference'!$A$7:$D$906,2,0)),IF(ISERROR(VLOOKUP($A39,'[1]liste reference'!$B$7:$D$906,1,0)),"",VLOOKUP($A39,'[1]liste reference'!$B$7:$D$906,1,0)),VLOOKUP($A39,'[1]liste reference'!$A$7:$D$906,2,0))</f>
        <v/>
      </c>
      <c r="E39" s="217" t="n">
        <f aca="false">IF(D39="",0,VLOOKUP(D39,D$22:D38,1,0))</f>
        <v>0</v>
      </c>
      <c r="F39" s="227" t="n">
        <f aca="false">($B39*$B$7+$C39*$C$7)/100</f>
        <v>0</v>
      </c>
      <c r="G39" s="219" t="str">
        <f aca="false">IF(A39="","",IF(ISERROR(VLOOKUP($A39,'[1]liste reference'!$A$7:$P$906,13,0)),IF(ISERROR(VLOOKUP($A39,'[1]liste reference'!$B$7:$P$906,12,0)),"    -",VLOOKUP($A39,'[1]liste reference'!$B$7:$P$906,12,0)),VLOOKUP($A39,'[1]liste reference'!$A$7:$P$906,13,0)))</f>
        <v/>
      </c>
      <c r="H39" s="201" t="str">
        <f aca="false">IF(A39="","x",IF(ISERROR(VLOOKUP($A39,'[1]liste reference'!$A$7:$P$906,14,0)),IF(ISERROR(VLOOKUP($A39,'[1]liste reference'!$B$7:$P$906,13,0)),"x",VLOOKUP($A39,'[1]liste reference'!$B$7:$P$906,13,0)),VLOOKUP($A39,'[1]liste reference'!$A$7:$P$906,14,0)))</f>
        <v>x</v>
      </c>
      <c r="I39" s="220" t="str">
        <f aca="false">IF(ISNUMBER(H39),IF(ISERROR(VLOOKUP($A39,'[1]liste reference'!$A$7:$P$906,3,0)),IF(ISERROR(VLOOKUP($A39,'[1]liste reference'!$B$7:$P$906,2,0)),"",VLOOKUP($A39,'[1]liste reference'!$B$7:$P$906,2,0)),VLOOKUP($A39,'[1]liste reference'!$A$7:$P$906,3,0)),"")</f>
        <v/>
      </c>
      <c r="J39" s="203" t="str">
        <f aca="false">IF(ISNUMBER(H39),IF(ISERROR(VLOOKUP($A39,'[1]liste reference'!$A$7:$P$906,4,0)),IF(ISERROR(VLOOKUP($A39,'[1]liste reference'!$B$7:$P$906,3,0)),"",VLOOKUP($A39,'[1]liste reference'!$B$7:$P$906,3,0)),VLOOKUP($A39,'[1]liste reference'!$A$7:$P$906,4,0)),"")</f>
        <v/>
      </c>
      <c r="K39" s="221" t="str">
        <f aca="false">IF(A39="NEW.COD",AA39,IF(ISTEXT($E39),"DEJA SAISI !",IF(A39="","",IF(ISERROR(VLOOKUP($A39,'[1]liste reference'!$A$7:$D$906,2,0)),IF(ISERROR(VLOOKUP($A39,'[1]liste reference'!$B$7:$D$906,1,0)),"code non répertorié ou synonyme",VLOOKUP($A39,'[1]liste reference'!$B$7:$D$906,1,0)),VLOOKUP(A39,'[1]liste reference'!$A$7:$D$906,2,0)))))</f>
        <v/>
      </c>
      <c r="L39" s="222"/>
      <c r="M39" s="222"/>
      <c r="N39" s="222"/>
      <c r="O39" s="206"/>
      <c r="P39" s="207" t="str">
        <f aca="false">IF(ISTEXT(H39),"",(B39*$B$7/100)+(C39*$C$7/100))</f>
        <v/>
      </c>
      <c r="Q39" s="208" t="str">
        <f aca="false">IF(OR(ISTEXT(H39),P39=0),"",IF(P39&lt;0.1,1,IF(P39&lt;1,2,IF(P39&lt;10,3,IF(P39&lt;50,4,IF(P39&gt;=50,5,""))))))</f>
        <v/>
      </c>
      <c r="R39" s="208" t="n">
        <f aca="false">IF(ISERROR(Q39*I39),0,Q39*I39)</f>
        <v>0</v>
      </c>
      <c r="S39" s="208" t="n">
        <f aca="false">IF(ISERROR(Q39*I39*J39),0,Q39*I39*J39)</f>
        <v>0</v>
      </c>
      <c r="T39" s="223" t="n">
        <f aca="false">IF(ISERROR(Q39*J39),0,Q39*J39)</f>
        <v>0</v>
      </c>
      <c r="U39" s="209" t="str">
        <f aca="false">IF(AND(A39="",F39=0),"",IF(F39=0,"Il manque le(s) % de rec. !",""))</f>
        <v/>
      </c>
      <c r="V39" s="210"/>
      <c r="X39" s="211" t="str">
        <f aca="false">IF(A39="new.cod","NEW.COD",IF(AND((Y39=""),ISTEXT(A39)),A39,IF(Y39="","",INDEX('[1]liste reference'!$A$7:$A$906,Y39))))</f>
        <v/>
      </c>
      <c r="Y39" s="9" t="str">
        <f aca="false">IF(ISERROR(MATCH(A39,'[1]liste reference'!$A$7:$A$906,0)),IF(ISERROR(MATCH(A39,'[1]liste reference'!$B$7:$B$906,0)),"",(MATCH(A39,'[1]liste reference'!$B$7:$B$906,0))),(MATCH(A39,'[1]liste reference'!$A$7:$A$906,0)))</f>
        <v/>
      </c>
      <c r="Z39" s="212"/>
      <c r="AA39" s="213"/>
      <c r="BB39" s="9" t="str">
        <f aca="false">IF(A39="","",1)</f>
        <v/>
      </c>
    </row>
    <row r="40" customFormat="false" ht="12.75" hidden="false" customHeight="false" outlineLevel="0" collapsed="false">
      <c r="A40" s="214"/>
      <c r="B40" s="215"/>
      <c r="C40" s="216"/>
      <c r="D40" s="217" t="str">
        <f aca="false">IF(ISERROR(VLOOKUP($A40,'[1]liste reference'!$A$7:$D$906,2,0)),IF(ISERROR(VLOOKUP($A40,'[1]liste reference'!$B$7:$D$906,1,0)),"",VLOOKUP($A40,'[1]liste reference'!$B$7:$D$906,1,0)),VLOOKUP($A40,'[1]liste reference'!$A$7:$D$906,2,0))</f>
        <v/>
      </c>
      <c r="E40" s="217" t="n">
        <f aca="false">IF(D40="",0,VLOOKUP(D40,D$22:D39,1,0))</f>
        <v>0</v>
      </c>
      <c r="F40" s="227" t="n">
        <f aca="false">($B40*$B$7+$C40*$C$7)/100</f>
        <v>0</v>
      </c>
      <c r="G40" s="219" t="str">
        <f aca="false">IF(A40="","",IF(ISERROR(VLOOKUP($A40,'[1]liste reference'!$A$7:$P$906,13,0)),IF(ISERROR(VLOOKUP($A40,'[1]liste reference'!$B$7:$P$906,12,0)),"    -",VLOOKUP($A40,'[1]liste reference'!$B$7:$P$906,12,0)),VLOOKUP($A40,'[1]liste reference'!$A$7:$P$906,13,0)))</f>
        <v/>
      </c>
      <c r="H40" s="201" t="str">
        <f aca="false">IF(A40="","x",IF(ISERROR(VLOOKUP($A40,'[1]liste reference'!$A$7:$P$906,14,0)),IF(ISERROR(VLOOKUP($A40,'[1]liste reference'!$B$7:$P$906,13,0)),"x",VLOOKUP($A40,'[1]liste reference'!$B$7:$P$906,13,0)),VLOOKUP($A40,'[1]liste reference'!$A$7:$P$906,14,0)))</f>
        <v>x</v>
      </c>
      <c r="I40" s="220" t="str">
        <f aca="false">IF(ISNUMBER(H40),IF(ISERROR(VLOOKUP($A40,'[1]liste reference'!$A$7:$P$906,3,0)),IF(ISERROR(VLOOKUP($A40,'[1]liste reference'!$B$7:$P$906,2,0)),"",VLOOKUP($A40,'[1]liste reference'!$B$7:$P$906,2,0)),VLOOKUP($A40,'[1]liste reference'!$A$7:$P$906,3,0)),"")</f>
        <v/>
      </c>
      <c r="J40" s="203" t="str">
        <f aca="false">IF(ISNUMBER(H40),IF(ISERROR(VLOOKUP($A40,'[1]liste reference'!$A$7:$P$906,4,0)),IF(ISERROR(VLOOKUP($A40,'[1]liste reference'!$B$7:$P$906,3,0)),"",VLOOKUP($A40,'[1]liste reference'!$B$7:$P$906,3,0)),VLOOKUP($A40,'[1]liste reference'!$A$7:$P$906,4,0)),"")</f>
        <v/>
      </c>
      <c r="K40" s="221" t="str">
        <f aca="false">IF(A40="NEW.COD",AA40,IF(ISTEXT($E40),"DEJA SAISI !",IF(A40="","",IF(ISERROR(VLOOKUP($A40,'[1]liste reference'!$A$7:$D$906,2,0)),IF(ISERROR(VLOOKUP($A40,'[1]liste reference'!$B$7:$D$906,1,0)),"code non répertorié ou synonyme",VLOOKUP($A40,'[1]liste reference'!$B$7:$D$906,1,0)),VLOOKUP(A40,'[1]liste reference'!$A$7:$D$906,2,0)))))</f>
        <v/>
      </c>
      <c r="L40" s="222"/>
      <c r="M40" s="222"/>
      <c r="N40" s="222"/>
      <c r="O40" s="206"/>
      <c r="P40" s="207" t="str">
        <f aca="false">IF(ISTEXT(H40),"",(B40*$B$7/100)+(C40*$C$7/100))</f>
        <v/>
      </c>
      <c r="Q40" s="208" t="str">
        <f aca="false">IF(OR(ISTEXT(H40),P40=0),"",IF(P40&lt;0.1,1,IF(P40&lt;1,2,IF(P40&lt;10,3,IF(P40&lt;50,4,IF(P40&gt;=50,5,""))))))</f>
        <v/>
      </c>
      <c r="R40" s="208" t="n">
        <f aca="false">IF(ISERROR(Q40*I40),0,Q40*I40)</f>
        <v>0</v>
      </c>
      <c r="S40" s="208" t="n">
        <f aca="false">IF(ISERROR(Q40*I40*J40),0,Q40*I40*J40)</f>
        <v>0</v>
      </c>
      <c r="T40" s="223" t="n">
        <f aca="false">IF(ISERROR(Q40*J40),0,Q40*J40)</f>
        <v>0</v>
      </c>
      <c r="U40" s="209" t="str">
        <f aca="false">IF(AND(A40="",F40=0),"",IF(F40=0,"Il manque le(s) % de rec. !",""))</f>
        <v/>
      </c>
      <c r="V40" s="210"/>
      <c r="X40" s="211" t="str">
        <f aca="false">IF(A40="new.cod","NEW.COD",IF(AND((Y40=""),ISTEXT(A40)),A40,IF(Y40="","",INDEX('[1]liste reference'!$A$7:$A$906,Y40))))</f>
        <v/>
      </c>
      <c r="Y40" s="9" t="str">
        <f aca="false">IF(ISERROR(MATCH(A40,'[1]liste reference'!$A$7:$A$906,0)),IF(ISERROR(MATCH(A40,'[1]liste reference'!$B$7:$B$906,0)),"",(MATCH(A40,'[1]liste reference'!$B$7:$B$906,0))),(MATCH(A40,'[1]liste reference'!$A$7:$A$906,0)))</f>
        <v/>
      </c>
      <c r="Z40" s="212"/>
      <c r="AA40" s="213"/>
      <c r="BB40" s="9" t="str">
        <f aca="false">IF(A40="","",1)</f>
        <v/>
      </c>
    </row>
    <row r="41" customFormat="false" ht="12.75" hidden="false" customHeight="false" outlineLevel="0" collapsed="false">
      <c r="A41" s="214"/>
      <c r="B41" s="215"/>
      <c r="C41" s="216"/>
      <c r="D41" s="217" t="str">
        <f aca="false">IF(ISERROR(VLOOKUP($A41,'[1]liste reference'!$A$7:$D$906,2,0)),IF(ISERROR(VLOOKUP($A41,'[1]liste reference'!$B$7:$D$906,1,0)),"",VLOOKUP($A41,'[1]liste reference'!$B$7:$D$906,1,0)),VLOOKUP($A41,'[1]liste reference'!$A$7:$D$906,2,0))</f>
        <v/>
      </c>
      <c r="E41" s="217" t="n">
        <f aca="false">IF(D41="",0,VLOOKUP(D41,D$22:D40,1,0))</f>
        <v>0</v>
      </c>
      <c r="F41" s="227" t="n">
        <f aca="false">($B41*$B$7+$C41*$C$7)/100</f>
        <v>0</v>
      </c>
      <c r="G41" s="219" t="str">
        <f aca="false">IF(A41="","",IF(ISERROR(VLOOKUP($A41,'[1]liste reference'!$A$7:$P$906,13,0)),IF(ISERROR(VLOOKUP($A41,'[1]liste reference'!$B$7:$P$906,12,0)),"    -",VLOOKUP($A41,'[1]liste reference'!$B$7:$P$906,12,0)),VLOOKUP($A41,'[1]liste reference'!$A$7:$P$906,13,0)))</f>
        <v/>
      </c>
      <c r="H41" s="201" t="str">
        <f aca="false">IF(A41="","x",IF(ISERROR(VLOOKUP($A41,'[1]liste reference'!$A$7:$P$906,14,0)),IF(ISERROR(VLOOKUP($A41,'[1]liste reference'!$B$7:$P$906,13,0)),"x",VLOOKUP($A41,'[1]liste reference'!$B$7:$P$906,13,0)),VLOOKUP($A41,'[1]liste reference'!$A$7:$P$906,14,0)))</f>
        <v>x</v>
      </c>
      <c r="I41" s="220" t="str">
        <f aca="false">IF(ISNUMBER(H41),IF(ISERROR(VLOOKUP($A41,'[1]liste reference'!$A$7:$P$906,3,0)),IF(ISERROR(VLOOKUP($A41,'[1]liste reference'!$B$7:$P$906,2,0)),"",VLOOKUP($A41,'[1]liste reference'!$B$7:$P$906,2,0)),VLOOKUP($A41,'[1]liste reference'!$A$7:$P$906,3,0)),"")</f>
        <v/>
      </c>
      <c r="J41" s="203" t="str">
        <f aca="false">IF(ISNUMBER(H41),IF(ISERROR(VLOOKUP($A41,'[1]liste reference'!$A$7:$P$906,4,0)),IF(ISERROR(VLOOKUP($A41,'[1]liste reference'!$B$7:$P$906,3,0)),"",VLOOKUP($A41,'[1]liste reference'!$B$7:$P$906,3,0)),VLOOKUP($A41,'[1]liste reference'!$A$7:$P$906,4,0)),"")</f>
        <v/>
      </c>
      <c r="K41" s="221" t="str">
        <f aca="false">IF(A41="NEW.COD",AA41,IF(ISTEXT($E41),"DEJA SAISI !",IF(A41="","",IF(ISERROR(VLOOKUP($A41,'[1]liste reference'!$A$7:$D$906,2,0)),IF(ISERROR(VLOOKUP($A41,'[1]liste reference'!$B$7:$D$906,1,0)),"code non répertorié ou synonyme",VLOOKUP($A41,'[1]liste reference'!$B$7:$D$906,1,0)),VLOOKUP(A41,'[1]liste reference'!$A$7:$D$906,2,0)))))</f>
        <v/>
      </c>
      <c r="L41" s="222"/>
      <c r="M41" s="222"/>
      <c r="N41" s="222"/>
      <c r="O41" s="206"/>
      <c r="P41" s="207" t="str">
        <f aca="false">IF(ISTEXT(H41),"",(B41*$B$7/100)+(C41*$C$7/100))</f>
        <v/>
      </c>
      <c r="Q41" s="208" t="str">
        <f aca="false">IF(OR(ISTEXT(H41),P41=0),"",IF(P41&lt;0.1,1,IF(P41&lt;1,2,IF(P41&lt;10,3,IF(P41&lt;50,4,IF(P41&gt;=50,5,""))))))</f>
        <v/>
      </c>
      <c r="R41" s="208" t="n">
        <f aca="false">IF(ISERROR(Q41*I41),0,Q41*I41)</f>
        <v>0</v>
      </c>
      <c r="S41" s="208" t="n">
        <f aca="false">IF(ISERROR(Q41*I41*J41),0,Q41*I41*J41)</f>
        <v>0</v>
      </c>
      <c r="T41" s="223" t="n">
        <f aca="false">IF(ISERROR(Q41*J41),0,Q41*J41)</f>
        <v>0</v>
      </c>
      <c r="U41" s="209" t="str">
        <f aca="false">IF(AND(A41="",F41=0),"",IF(F41=0,"Il manque le(s) % de rec. !",""))</f>
        <v/>
      </c>
      <c r="V41" s="210"/>
      <c r="X41" s="211" t="str">
        <f aca="false">IF(A41="new.cod","NEW.COD",IF(AND((Y41=""),ISTEXT(A41)),A41,IF(Y41="","",INDEX('[1]liste reference'!$A$7:$A$906,Y41))))</f>
        <v/>
      </c>
      <c r="Y41" s="9" t="str">
        <f aca="false">IF(ISERROR(MATCH(A41,'[1]liste reference'!$A$7:$A$906,0)),IF(ISERROR(MATCH(A41,'[1]liste reference'!$B$7:$B$906,0)),"",(MATCH(A41,'[1]liste reference'!$B$7:$B$906,0))),(MATCH(A41,'[1]liste reference'!$A$7:$A$906,0)))</f>
        <v/>
      </c>
      <c r="Z41" s="212"/>
      <c r="AA41" s="213"/>
      <c r="BB41" s="9" t="str">
        <f aca="false">IF(A41="","",1)</f>
        <v/>
      </c>
    </row>
    <row r="42" customFormat="false" ht="12.75" hidden="false" customHeight="false" outlineLevel="0" collapsed="false">
      <c r="A42" s="214"/>
      <c r="B42" s="215"/>
      <c r="C42" s="216"/>
      <c r="D42" s="217" t="str">
        <f aca="false">IF(ISERROR(VLOOKUP($A42,'[1]liste reference'!$A$7:$D$906,2,0)),IF(ISERROR(VLOOKUP($A42,'[1]liste reference'!$B$7:$D$906,1,0)),"",VLOOKUP($A42,'[1]liste reference'!$B$7:$D$906,1,0)),VLOOKUP($A42,'[1]liste reference'!$A$7:$D$906,2,0))</f>
        <v/>
      </c>
      <c r="E42" s="217" t="n">
        <f aca="false">IF(D42="",0,VLOOKUP(D42,D$22:D41,1,0))</f>
        <v>0</v>
      </c>
      <c r="F42" s="227" t="n">
        <f aca="false">($B42*$B$7+$C42*$C$7)/100</f>
        <v>0</v>
      </c>
      <c r="G42" s="219" t="str">
        <f aca="false">IF(A42="","",IF(ISERROR(VLOOKUP($A42,'[1]liste reference'!$A$7:$P$906,13,0)),IF(ISERROR(VLOOKUP($A42,'[1]liste reference'!$B$7:$P$906,12,0)),"    -",VLOOKUP($A42,'[1]liste reference'!$B$7:$P$906,12,0)),VLOOKUP($A42,'[1]liste reference'!$A$7:$P$906,13,0)))</f>
        <v/>
      </c>
      <c r="H42" s="201" t="str">
        <f aca="false">IF(A42="","x",IF(ISERROR(VLOOKUP($A42,'[1]liste reference'!$A$7:$P$906,14,0)),IF(ISERROR(VLOOKUP($A42,'[1]liste reference'!$B$7:$P$906,13,0)),"x",VLOOKUP($A42,'[1]liste reference'!$B$7:$P$906,13,0)),VLOOKUP($A42,'[1]liste reference'!$A$7:$P$906,14,0)))</f>
        <v>x</v>
      </c>
      <c r="I42" s="220" t="str">
        <f aca="false">IF(ISNUMBER(H42),IF(ISERROR(VLOOKUP($A42,'[1]liste reference'!$A$7:$P$906,3,0)),IF(ISERROR(VLOOKUP($A42,'[1]liste reference'!$B$7:$P$906,2,0)),"",VLOOKUP($A42,'[1]liste reference'!$B$7:$P$906,2,0)),VLOOKUP($A42,'[1]liste reference'!$A$7:$P$906,3,0)),"")</f>
        <v/>
      </c>
      <c r="J42" s="203" t="str">
        <f aca="false">IF(ISNUMBER(H42),IF(ISERROR(VLOOKUP($A42,'[1]liste reference'!$A$7:$P$906,4,0)),IF(ISERROR(VLOOKUP($A42,'[1]liste reference'!$B$7:$P$906,3,0)),"",VLOOKUP($A42,'[1]liste reference'!$B$7:$P$906,3,0)),VLOOKUP($A42,'[1]liste reference'!$A$7:$P$906,4,0)),"")</f>
        <v/>
      </c>
      <c r="K42" s="221" t="str">
        <f aca="false">IF(A42="NEW.COD",AA42,IF(ISTEXT($E42),"DEJA SAISI !",IF(A42="","",IF(ISERROR(VLOOKUP($A42,'[1]liste reference'!$A$7:$D$906,2,0)),IF(ISERROR(VLOOKUP($A42,'[1]liste reference'!$B$7:$D$906,1,0)),"code non répertorié ou synonyme",VLOOKUP($A42,'[1]liste reference'!$B$7:$D$906,1,0)),VLOOKUP(A42,'[1]liste reference'!$A$7:$D$906,2,0)))))</f>
        <v/>
      </c>
      <c r="L42" s="222"/>
      <c r="M42" s="222"/>
      <c r="N42" s="222"/>
      <c r="O42" s="206"/>
      <c r="P42" s="207" t="str">
        <f aca="false">IF(ISTEXT(H42),"",(B42*$B$7/100)+(C42*$C$7/100))</f>
        <v/>
      </c>
      <c r="Q42" s="208" t="str">
        <f aca="false">IF(OR(ISTEXT(H42),P42=0),"",IF(P42&lt;0.1,1,IF(P42&lt;1,2,IF(P42&lt;10,3,IF(P42&lt;50,4,IF(P42&gt;=50,5,""))))))</f>
        <v/>
      </c>
      <c r="R42" s="208" t="n">
        <f aca="false">IF(ISERROR(Q42*I42),0,Q42*I42)</f>
        <v>0</v>
      </c>
      <c r="S42" s="208" t="n">
        <f aca="false">IF(ISERROR(Q42*I42*J42),0,Q42*I42*J42)</f>
        <v>0</v>
      </c>
      <c r="T42" s="223" t="n">
        <f aca="false">IF(ISERROR(Q42*J42),0,Q42*J42)</f>
        <v>0</v>
      </c>
      <c r="U42" s="209" t="str">
        <f aca="false">IF(AND(A42="",F42=0),"",IF(F42=0,"Il manque le(s) % de rec. !",""))</f>
        <v/>
      </c>
      <c r="V42" s="210"/>
      <c r="X42" s="211" t="str">
        <f aca="false">IF(A42="new.cod","NEW.COD",IF(AND((Y42=""),ISTEXT(A42)),A42,IF(Y42="","",INDEX('[1]liste reference'!$A$7:$A$906,Y42))))</f>
        <v/>
      </c>
      <c r="Y42" s="9" t="str">
        <f aca="false">IF(ISERROR(MATCH(A42,'[1]liste reference'!$A$7:$A$906,0)),IF(ISERROR(MATCH(A42,'[1]liste reference'!$B$7:$B$906,0)),"",(MATCH(A42,'[1]liste reference'!$B$7:$B$906,0))),(MATCH(A42,'[1]liste reference'!$A$7:$A$906,0)))</f>
        <v/>
      </c>
      <c r="Z42" s="212"/>
      <c r="AA42" s="213"/>
      <c r="BB42" s="9" t="str">
        <f aca="false">IF(A42="","",1)</f>
        <v/>
      </c>
    </row>
    <row r="43" customFormat="false" ht="12.75" hidden="false" customHeight="false" outlineLevel="0" collapsed="false">
      <c r="A43" s="214"/>
      <c r="B43" s="215"/>
      <c r="C43" s="216"/>
      <c r="D43" s="217" t="str">
        <f aca="false">IF(ISERROR(VLOOKUP($A43,'[1]liste reference'!$A$7:$D$906,2,0)),IF(ISERROR(VLOOKUP($A43,'[1]liste reference'!$B$7:$D$906,1,0)),"",VLOOKUP($A43,'[1]liste reference'!$B$7:$D$906,1,0)),VLOOKUP($A43,'[1]liste reference'!$A$7:$D$906,2,0))</f>
        <v/>
      </c>
      <c r="E43" s="217" t="n">
        <f aca="false">IF(D43="",0,VLOOKUP(D43,D$22:D42,1,0))</f>
        <v>0</v>
      </c>
      <c r="F43" s="227" t="n">
        <f aca="false">($B43*$B$7+$C43*$C$7)/100</f>
        <v>0</v>
      </c>
      <c r="G43" s="219" t="str">
        <f aca="false">IF(A43="","",IF(ISERROR(VLOOKUP($A43,'[1]liste reference'!$A$7:$P$906,13,0)),IF(ISERROR(VLOOKUP($A43,'[1]liste reference'!$B$7:$P$906,12,0)),"    -",VLOOKUP($A43,'[1]liste reference'!$B$7:$P$906,12,0)),VLOOKUP($A43,'[1]liste reference'!$A$7:$P$906,13,0)))</f>
        <v/>
      </c>
      <c r="H43" s="201" t="str">
        <f aca="false">IF(A43="","x",IF(ISERROR(VLOOKUP($A43,'[1]liste reference'!$A$7:$P$906,14,0)),IF(ISERROR(VLOOKUP($A43,'[1]liste reference'!$B$7:$P$906,13,0)),"x",VLOOKUP($A43,'[1]liste reference'!$B$7:$P$906,13,0)),VLOOKUP($A43,'[1]liste reference'!$A$7:$P$906,14,0)))</f>
        <v>x</v>
      </c>
      <c r="I43" s="220" t="str">
        <f aca="false">IF(ISNUMBER(H43),IF(ISERROR(VLOOKUP($A43,'[1]liste reference'!$A$7:$P$906,3,0)),IF(ISERROR(VLOOKUP($A43,'[1]liste reference'!$B$7:$P$906,2,0)),"",VLOOKUP($A43,'[1]liste reference'!$B$7:$P$906,2,0)),VLOOKUP($A43,'[1]liste reference'!$A$7:$P$906,3,0)),"")</f>
        <v/>
      </c>
      <c r="J43" s="203" t="str">
        <f aca="false">IF(ISNUMBER(H43),IF(ISERROR(VLOOKUP($A43,'[1]liste reference'!$A$7:$P$906,4,0)),IF(ISERROR(VLOOKUP($A43,'[1]liste reference'!$B$7:$P$906,3,0)),"",VLOOKUP($A43,'[1]liste reference'!$B$7:$P$906,3,0)),VLOOKUP($A43,'[1]liste reference'!$A$7:$P$906,4,0)),"")</f>
        <v/>
      </c>
      <c r="K43" s="221" t="str">
        <f aca="false">IF(A43="NEW.COD",AA43,IF(ISTEXT($E43),"DEJA SAISI !",IF(A43="","",IF(ISERROR(VLOOKUP($A43,'[1]liste reference'!$A$7:$D$906,2,0)),IF(ISERROR(VLOOKUP($A43,'[1]liste reference'!$B$7:$D$906,1,0)),"code non répertorié ou synonyme",VLOOKUP($A43,'[1]liste reference'!$B$7:$D$906,1,0)),VLOOKUP(A43,'[1]liste reference'!$A$7:$D$906,2,0)))))</f>
        <v/>
      </c>
      <c r="L43" s="222"/>
      <c r="M43" s="222"/>
      <c r="N43" s="222"/>
      <c r="O43" s="206"/>
      <c r="P43" s="207" t="str">
        <f aca="false">IF(ISTEXT(H43),"",(B43*$B$7/100)+(C43*$C$7/100))</f>
        <v/>
      </c>
      <c r="Q43" s="208" t="str">
        <f aca="false">IF(OR(ISTEXT(H43),P43=0),"",IF(P43&lt;0.1,1,IF(P43&lt;1,2,IF(P43&lt;10,3,IF(P43&lt;50,4,IF(P43&gt;=50,5,""))))))</f>
        <v/>
      </c>
      <c r="R43" s="208" t="n">
        <f aca="false">IF(ISERROR(Q43*I43),0,Q43*I43)</f>
        <v>0</v>
      </c>
      <c r="S43" s="208" t="n">
        <f aca="false">IF(ISERROR(Q43*I43*J43),0,Q43*I43*J43)</f>
        <v>0</v>
      </c>
      <c r="T43" s="223" t="n">
        <f aca="false">IF(ISERROR(Q43*J43),0,Q43*J43)</f>
        <v>0</v>
      </c>
      <c r="U43" s="209" t="str">
        <f aca="false">IF(AND(A43="",F43=0),"",IF(F43=0,"Il manque le(s) % de rec. !",""))</f>
        <v/>
      </c>
      <c r="V43" s="210"/>
      <c r="X43" s="211" t="str">
        <f aca="false">IF(A43="new.cod","NEW.COD",IF(AND((Y43=""),ISTEXT(A43)),A43,IF(Y43="","",INDEX('[1]liste reference'!$A$7:$A$906,Y43))))</f>
        <v/>
      </c>
      <c r="Y43" s="9" t="str">
        <f aca="false">IF(ISERROR(MATCH(A43,'[1]liste reference'!$A$7:$A$906,0)),IF(ISERROR(MATCH(A43,'[1]liste reference'!$B$7:$B$906,0)),"",(MATCH(A43,'[1]liste reference'!$B$7:$B$906,0))),(MATCH(A43,'[1]liste reference'!$A$7:$A$906,0)))</f>
        <v/>
      </c>
      <c r="Z43" s="212"/>
      <c r="AA43" s="213"/>
      <c r="BB43" s="9" t="str">
        <f aca="false">IF(A43="","",1)</f>
        <v/>
      </c>
    </row>
    <row r="44" customFormat="false" ht="12.75" hidden="false" customHeight="false" outlineLevel="0" collapsed="false">
      <c r="A44" s="214"/>
      <c r="B44" s="215"/>
      <c r="C44" s="216"/>
      <c r="D44" s="217" t="str">
        <f aca="false">IF(ISERROR(VLOOKUP($A44,'[1]liste reference'!$A$7:$D$906,2,0)),IF(ISERROR(VLOOKUP($A44,'[1]liste reference'!$B$7:$D$906,1,0)),"",VLOOKUP($A44,'[1]liste reference'!$B$7:$D$906,1,0)),VLOOKUP($A44,'[1]liste reference'!$A$7:$D$906,2,0))</f>
        <v/>
      </c>
      <c r="E44" s="217" t="n">
        <f aca="false">IF(D44="",0,VLOOKUP(D44,D$22:D43,1,0))</f>
        <v>0</v>
      </c>
      <c r="F44" s="227" t="n">
        <f aca="false">($B44*$B$7+$C44*$C$7)/100</f>
        <v>0</v>
      </c>
      <c r="G44" s="219" t="str">
        <f aca="false">IF(A44="","",IF(ISERROR(VLOOKUP($A44,'[1]liste reference'!$A$7:$P$906,13,0)),IF(ISERROR(VLOOKUP($A44,'[1]liste reference'!$B$7:$P$906,12,0)),"    -",VLOOKUP($A44,'[1]liste reference'!$B$7:$P$906,12,0)),VLOOKUP($A44,'[1]liste reference'!$A$7:$P$906,13,0)))</f>
        <v/>
      </c>
      <c r="H44" s="201" t="str">
        <f aca="false">IF(A44="","x",IF(ISERROR(VLOOKUP($A44,'[1]liste reference'!$A$7:$P$906,14,0)),IF(ISERROR(VLOOKUP($A44,'[1]liste reference'!$B$7:$P$906,13,0)),"x",VLOOKUP($A44,'[1]liste reference'!$B$7:$P$906,13,0)),VLOOKUP($A44,'[1]liste reference'!$A$7:$P$906,14,0)))</f>
        <v>x</v>
      </c>
      <c r="I44" s="220" t="str">
        <f aca="false">IF(ISNUMBER(H44),IF(ISERROR(VLOOKUP($A44,'[1]liste reference'!$A$7:$P$906,3,0)),IF(ISERROR(VLOOKUP($A44,'[1]liste reference'!$B$7:$P$906,2,0)),"",VLOOKUP($A44,'[1]liste reference'!$B$7:$P$906,2,0)),VLOOKUP($A44,'[1]liste reference'!$A$7:$P$906,3,0)),"")</f>
        <v/>
      </c>
      <c r="J44" s="203" t="str">
        <f aca="false">IF(ISNUMBER(H44),IF(ISERROR(VLOOKUP($A44,'[1]liste reference'!$A$7:$P$906,4,0)),IF(ISERROR(VLOOKUP($A44,'[1]liste reference'!$B$7:$P$906,3,0)),"",VLOOKUP($A44,'[1]liste reference'!$B$7:$P$906,3,0)),VLOOKUP($A44,'[1]liste reference'!$A$7:$P$906,4,0)),"")</f>
        <v/>
      </c>
      <c r="K44" s="221" t="str">
        <f aca="false">IF(A44="NEW.COD",AA44,IF(ISTEXT($E44),"DEJA SAISI !",IF(A44="","",IF(ISERROR(VLOOKUP($A44,'[1]liste reference'!$A$7:$D$906,2,0)),IF(ISERROR(VLOOKUP($A44,'[1]liste reference'!$B$7:$D$906,1,0)),"code non répertorié ou synonyme",VLOOKUP($A44,'[1]liste reference'!$B$7:$D$906,1,0)),VLOOKUP(A44,'[1]liste reference'!$A$7:$D$906,2,0)))))</f>
        <v/>
      </c>
      <c r="L44" s="222"/>
      <c r="M44" s="222"/>
      <c r="N44" s="222"/>
      <c r="O44" s="206"/>
      <c r="P44" s="207" t="str">
        <f aca="false">IF(ISTEXT(H44),"",(B44*$B$7/100)+(C44*$C$7/100))</f>
        <v/>
      </c>
      <c r="Q44" s="208" t="str">
        <f aca="false">IF(OR(ISTEXT(H44),P44=0),"",IF(P44&lt;0.1,1,IF(P44&lt;1,2,IF(P44&lt;10,3,IF(P44&lt;50,4,IF(P44&gt;=50,5,""))))))</f>
        <v/>
      </c>
      <c r="R44" s="208" t="n">
        <f aca="false">IF(ISERROR(Q44*I44),0,Q44*I44)</f>
        <v>0</v>
      </c>
      <c r="S44" s="208" t="n">
        <f aca="false">IF(ISERROR(Q44*I44*J44),0,Q44*I44*J44)</f>
        <v>0</v>
      </c>
      <c r="T44" s="223" t="n">
        <f aca="false">IF(ISERROR(Q44*J44),0,Q44*J44)</f>
        <v>0</v>
      </c>
      <c r="U44" s="209" t="str">
        <f aca="false">IF(AND(A44="",F44=0),"",IF(F44=0,"Il manque le(s) % de rec. !",""))</f>
        <v/>
      </c>
      <c r="V44" s="210"/>
      <c r="X44" s="211" t="str">
        <f aca="false">IF(A44="new.cod","NEW.COD",IF(AND((Y44=""),ISTEXT(A44)),A44,IF(Y44="","",INDEX('[1]liste reference'!$A$7:$A$906,Y44))))</f>
        <v/>
      </c>
      <c r="Y44" s="9" t="str">
        <f aca="false">IF(ISERROR(MATCH(A44,'[1]liste reference'!$A$7:$A$906,0)),IF(ISERROR(MATCH(A44,'[1]liste reference'!$B$7:$B$906,0)),"",(MATCH(A44,'[1]liste reference'!$B$7:$B$906,0))),(MATCH(A44,'[1]liste reference'!$A$7:$A$906,0)))</f>
        <v/>
      </c>
      <c r="Z44" s="212"/>
      <c r="AA44" s="213"/>
      <c r="BB44" s="9" t="str">
        <f aca="false">IF(A44="","",1)</f>
        <v/>
      </c>
    </row>
    <row r="45" customFormat="false" ht="12.75" hidden="false" customHeight="false" outlineLevel="0" collapsed="false">
      <c r="A45" s="214"/>
      <c r="B45" s="215"/>
      <c r="C45" s="216"/>
      <c r="D45" s="217" t="str">
        <f aca="false">IF(ISERROR(VLOOKUP($A45,'[1]liste reference'!$A$7:$D$906,2,0)),IF(ISERROR(VLOOKUP($A45,'[1]liste reference'!$B$7:$D$906,1,0)),"",VLOOKUP($A45,'[1]liste reference'!$B$7:$D$906,1,0)),VLOOKUP($A45,'[1]liste reference'!$A$7:$D$906,2,0))</f>
        <v/>
      </c>
      <c r="E45" s="217" t="n">
        <f aca="false">IF(D45="",0,VLOOKUP(D45,D$22:D44,1,0))</f>
        <v>0</v>
      </c>
      <c r="F45" s="227" t="n">
        <f aca="false">($B45*$B$7+$C45*$C$7)/100</f>
        <v>0</v>
      </c>
      <c r="G45" s="219" t="str">
        <f aca="false">IF(A45="","",IF(ISERROR(VLOOKUP($A45,'[1]liste reference'!$A$7:$P$906,13,0)),IF(ISERROR(VLOOKUP($A45,'[1]liste reference'!$B$7:$P$906,12,0)),"    -",VLOOKUP($A45,'[1]liste reference'!$B$7:$P$906,12,0)),VLOOKUP($A45,'[1]liste reference'!$A$7:$P$906,13,0)))</f>
        <v/>
      </c>
      <c r="H45" s="201" t="str">
        <f aca="false">IF(A45="","x",IF(ISERROR(VLOOKUP($A45,'[1]liste reference'!$A$7:$P$906,14,0)),IF(ISERROR(VLOOKUP($A45,'[1]liste reference'!$B$7:$P$906,13,0)),"x",VLOOKUP($A45,'[1]liste reference'!$B$7:$P$906,13,0)),VLOOKUP($A45,'[1]liste reference'!$A$7:$P$906,14,0)))</f>
        <v>x</v>
      </c>
      <c r="I45" s="220" t="str">
        <f aca="false">IF(ISNUMBER(H45),IF(ISERROR(VLOOKUP($A45,'[1]liste reference'!$A$7:$P$906,3,0)),IF(ISERROR(VLOOKUP($A45,'[1]liste reference'!$B$7:$P$906,2,0)),"",VLOOKUP($A45,'[1]liste reference'!$B$7:$P$906,2,0)),VLOOKUP($A45,'[1]liste reference'!$A$7:$P$906,3,0)),"")</f>
        <v/>
      </c>
      <c r="J45" s="203" t="str">
        <f aca="false">IF(ISNUMBER(H45),IF(ISERROR(VLOOKUP($A45,'[1]liste reference'!$A$7:$P$906,4,0)),IF(ISERROR(VLOOKUP($A45,'[1]liste reference'!$B$7:$P$906,3,0)),"",VLOOKUP($A45,'[1]liste reference'!$B$7:$P$906,3,0)),VLOOKUP($A45,'[1]liste reference'!$A$7:$P$906,4,0)),"")</f>
        <v/>
      </c>
      <c r="K45" s="221" t="str">
        <f aca="false">IF(A45="NEW.COD",AA45,IF(ISTEXT($E45),"DEJA SAISI !",IF(A45="","",IF(ISERROR(VLOOKUP($A45,'[1]liste reference'!$A$7:$D$906,2,0)),IF(ISERROR(VLOOKUP($A45,'[1]liste reference'!$B$7:$D$906,1,0)),"code non répertorié ou synonyme",VLOOKUP($A45,'[1]liste reference'!$B$7:$D$906,1,0)),VLOOKUP(A45,'[1]liste reference'!$A$7:$D$906,2,0)))))</f>
        <v/>
      </c>
      <c r="L45" s="222"/>
      <c r="M45" s="222"/>
      <c r="N45" s="222"/>
      <c r="O45" s="206"/>
      <c r="P45" s="207" t="str">
        <f aca="false">IF(ISTEXT(H45),"",(B45*$B$7/100)+(C45*$C$7/100))</f>
        <v/>
      </c>
      <c r="Q45" s="208" t="str">
        <f aca="false">IF(OR(ISTEXT(H45),P45=0),"",IF(P45&lt;0.1,1,IF(P45&lt;1,2,IF(P45&lt;10,3,IF(P45&lt;50,4,IF(P45&gt;=50,5,""))))))</f>
        <v/>
      </c>
      <c r="R45" s="208" t="n">
        <f aca="false">IF(ISERROR(Q45*I45),0,Q45*I45)</f>
        <v>0</v>
      </c>
      <c r="S45" s="208" t="n">
        <f aca="false">IF(ISERROR(Q45*I45*J45),0,Q45*I45*J45)</f>
        <v>0</v>
      </c>
      <c r="T45" s="223" t="n">
        <f aca="false">IF(ISERROR(Q45*J45),0,Q45*J45)</f>
        <v>0</v>
      </c>
      <c r="U45" s="209" t="str">
        <f aca="false">IF(AND(A45="",F45=0),"",IF(F45=0,"Il manque le(s) % de rec. !",""))</f>
        <v/>
      </c>
      <c r="V45" s="210"/>
      <c r="X45" s="211" t="str">
        <f aca="false">IF(A45="new.cod","NEW.COD",IF(AND((Y45=""),ISTEXT(A45)),A45,IF(Y45="","",INDEX('[1]liste reference'!$A$7:$A$906,Y45))))</f>
        <v/>
      </c>
      <c r="Y45" s="9" t="str">
        <f aca="false">IF(ISERROR(MATCH(A45,'[1]liste reference'!$A$7:$A$906,0)),IF(ISERROR(MATCH(A45,'[1]liste reference'!$B$7:$B$906,0)),"",(MATCH(A45,'[1]liste reference'!$B$7:$B$906,0))),(MATCH(A45,'[1]liste reference'!$A$7:$A$906,0)))</f>
        <v/>
      </c>
      <c r="Z45" s="212"/>
      <c r="AA45" s="213"/>
      <c r="BB45" s="9" t="str">
        <f aca="false">IF(A45="","",1)</f>
        <v/>
      </c>
    </row>
    <row r="46" customFormat="false" ht="12.75" hidden="false" customHeight="false" outlineLevel="0" collapsed="false">
      <c r="A46" s="214"/>
      <c r="B46" s="215"/>
      <c r="C46" s="216"/>
      <c r="D46" s="217" t="str">
        <f aca="false">IF(ISERROR(VLOOKUP($A46,'[1]liste reference'!$A$7:$D$906,2,0)),IF(ISERROR(VLOOKUP($A46,'[1]liste reference'!$B$7:$D$906,1,0)),"",VLOOKUP($A46,'[1]liste reference'!$B$7:$D$906,1,0)),VLOOKUP($A46,'[1]liste reference'!$A$7:$D$906,2,0))</f>
        <v/>
      </c>
      <c r="E46" s="217" t="n">
        <f aca="false">IF(D46="",0,VLOOKUP(D46,D$22:D45,1,0))</f>
        <v>0</v>
      </c>
      <c r="F46" s="227" t="n">
        <f aca="false">($B46*$B$7+$C46*$C$7)/100</f>
        <v>0</v>
      </c>
      <c r="G46" s="219" t="str">
        <f aca="false">IF(A46="","",IF(ISERROR(VLOOKUP($A46,'[1]liste reference'!$A$7:$P$906,13,0)),IF(ISERROR(VLOOKUP($A46,'[1]liste reference'!$B$7:$P$906,12,0)),"    -",VLOOKUP($A46,'[1]liste reference'!$B$7:$P$906,12,0)),VLOOKUP($A46,'[1]liste reference'!$A$7:$P$906,13,0)))</f>
        <v/>
      </c>
      <c r="H46" s="201" t="str">
        <f aca="false">IF(A46="","x",IF(ISERROR(VLOOKUP($A46,'[1]liste reference'!$A$7:$P$906,14,0)),IF(ISERROR(VLOOKUP($A46,'[1]liste reference'!$B$7:$P$906,13,0)),"x",VLOOKUP($A46,'[1]liste reference'!$B$7:$P$906,13,0)),VLOOKUP($A46,'[1]liste reference'!$A$7:$P$906,14,0)))</f>
        <v>x</v>
      </c>
      <c r="I46" s="220" t="str">
        <f aca="false">IF(ISNUMBER(H46),IF(ISERROR(VLOOKUP($A46,'[1]liste reference'!$A$7:$P$906,3,0)),IF(ISERROR(VLOOKUP($A46,'[1]liste reference'!$B$7:$P$906,2,0)),"",VLOOKUP($A46,'[1]liste reference'!$B$7:$P$906,2,0)),VLOOKUP($A46,'[1]liste reference'!$A$7:$P$906,3,0)),"")</f>
        <v/>
      </c>
      <c r="J46" s="203" t="str">
        <f aca="false">IF(ISNUMBER(H46),IF(ISERROR(VLOOKUP($A46,'[1]liste reference'!$A$7:$P$906,4,0)),IF(ISERROR(VLOOKUP($A46,'[1]liste reference'!$B$7:$P$906,3,0)),"",VLOOKUP($A46,'[1]liste reference'!$B$7:$P$906,3,0)),VLOOKUP($A46,'[1]liste reference'!$A$7:$P$906,4,0)),"")</f>
        <v/>
      </c>
      <c r="K46" s="221" t="str">
        <f aca="false">IF(A46="NEW.COD",AA46,IF(ISTEXT($E46),"DEJA SAISI !",IF(A46="","",IF(ISERROR(VLOOKUP($A46,'[1]liste reference'!$A$7:$D$906,2,0)),IF(ISERROR(VLOOKUP($A46,'[1]liste reference'!$B$7:$D$906,1,0)),"code non répertorié ou synonyme",VLOOKUP($A46,'[1]liste reference'!$B$7:$D$906,1,0)),VLOOKUP(A46,'[1]liste reference'!$A$7:$D$906,2,0)))))</f>
        <v/>
      </c>
      <c r="L46" s="222"/>
      <c r="M46" s="222"/>
      <c r="N46" s="222"/>
      <c r="O46" s="206"/>
      <c r="P46" s="207" t="str">
        <f aca="false">IF(ISTEXT(H46),"",(B46*$B$7/100)+(C46*$C$7/100))</f>
        <v/>
      </c>
      <c r="Q46" s="208" t="str">
        <f aca="false">IF(OR(ISTEXT(H46),P46=0),"",IF(P46&lt;0.1,1,IF(P46&lt;1,2,IF(P46&lt;10,3,IF(P46&lt;50,4,IF(P46&gt;=50,5,""))))))</f>
        <v/>
      </c>
      <c r="R46" s="208" t="n">
        <f aca="false">IF(ISERROR(Q46*I46),0,Q46*I46)</f>
        <v>0</v>
      </c>
      <c r="S46" s="208" t="n">
        <f aca="false">IF(ISERROR(Q46*I46*J46),0,Q46*I46*J46)</f>
        <v>0</v>
      </c>
      <c r="T46" s="223" t="n">
        <f aca="false">IF(ISERROR(Q46*J46),0,Q46*J46)</f>
        <v>0</v>
      </c>
      <c r="U46" s="209" t="str">
        <f aca="false">IF(AND(A46="",F46=0),"",IF(F46=0,"Il manque le(s) % de rec. !",""))</f>
        <v/>
      </c>
      <c r="V46" s="210"/>
      <c r="X46" s="211" t="str">
        <f aca="false">IF(A46="new.cod","NEW.COD",IF(AND((Y46=""),ISTEXT(A46)),A46,IF(Y46="","",INDEX('[1]liste reference'!$A$7:$A$906,Y46))))</f>
        <v/>
      </c>
      <c r="Y46" s="9" t="str">
        <f aca="false">IF(ISERROR(MATCH(A46,'[1]liste reference'!$A$7:$A$906,0)),IF(ISERROR(MATCH(A46,'[1]liste reference'!$B$7:$B$906,0)),"",(MATCH(A46,'[1]liste reference'!$B$7:$B$906,0))),(MATCH(A46,'[1]liste reference'!$A$7:$A$906,0)))</f>
        <v/>
      </c>
      <c r="Z46" s="212"/>
      <c r="AA46" s="213"/>
      <c r="BB46" s="9" t="str">
        <f aca="false">IF(A46="","",1)</f>
        <v/>
      </c>
    </row>
    <row r="47" customFormat="false" ht="12.75" hidden="false" customHeight="false" outlineLevel="0" collapsed="false">
      <c r="A47" s="214"/>
      <c r="B47" s="215"/>
      <c r="C47" s="216"/>
      <c r="D47" s="217" t="str">
        <f aca="false">IF(ISERROR(VLOOKUP($A47,'[1]liste reference'!$A$7:$D$906,2,0)),IF(ISERROR(VLOOKUP($A47,'[1]liste reference'!$B$7:$D$906,1,0)),"",VLOOKUP($A47,'[1]liste reference'!$B$7:$D$906,1,0)),VLOOKUP($A47,'[1]liste reference'!$A$7:$D$906,2,0))</f>
        <v/>
      </c>
      <c r="E47" s="217" t="n">
        <f aca="false">IF(D47="",0,VLOOKUP(D47,D$22:D46,1,0))</f>
        <v>0</v>
      </c>
      <c r="F47" s="227" t="n">
        <f aca="false">($B47*$B$7+$C47*$C$7)/100</f>
        <v>0</v>
      </c>
      <c r="G47" s="219" t="str">
        <f aca="false">IF(A47="","",IF(ISERROR(VLOOKUP($A47,'[1]liste reference'!$A$7:$P$906,13,0)),IF(ISERROR(VLOOKUP($A47,'[1]liste reference'!$B$7:$P$906,12,0)),"    -",VLOOKUP($A47,'[1]liste reference'!$B$7:$P$906,12,0)),VLOOKUP($A47,'[1]liste reference'!$A$7:$P$906,13,0)))</f>
        <v/>
      </c>
      <c r="H47" s="201" t="str">
        <f aca="false">IF(A47="","x",IF(ISERROR(VLOOKUP($A47,'[1]liste reference'!$A$7:$P$906,14,0)),IF(ISERROR(VLOOKUP($A47,'[1]liste reference'!$B$7:$P$906,13,0)),"x",VLOOKUP($A47,'[1]liste reference'!$B$7:$P$906,13,0)),VLOOKUP($A47,'[1]liste reference'!$A$7:$P$906,14,0)))</f>
        <v>x</v>
      </c>
      <c r="I47" s="220" t="str">
        <f aca="false">IF(ISNUMBER(H47),IF(ISERROR(VLOOKUP($A47,'[1]liste reference'!$A$7:$P$906,3,0)),IF(ISERROR(VLOOKUP($A47,'[1]liste reference'!$B$7:$P$906,2,0)),"",VLOOKUP($A47,'[1]liste reference'!$B$7:$P$906,2,0)),VLOOKUP($A47,'[1]liste reference'!$A$7:$P$906,3,0)),"")</f>
        <v/>
      </c>
      <c r="J47" s="203" t="str">
        <f aca="false">IF(ISNUMBER(H47),IF(ISERROR(VLOOKUP($A47,'[1]liste reference'!$A$7:$P$906,4,0)),IF(ISERROR(VLOOKUP($A47,'[1]liste reference'!$B$7:$P$906,3,0)),"",VLOOKUP($A47,'[1]liste reference'!$B$7:$P$906,3,0)),VLOOKUP($A47,'[1]liste reference'!$A$7:$P$906,4,0)),"")</f>
        <v/>
      </c>
      <c r="K47" s="221" t="str">
        <f aca="false">IF(A47="NEW.COD",AA47,IF(ISTEXT($E47),"DEJA SAISI !",IF(A47="","",IF(ISERROR(VLOOKUP($A47,'[1]liste reference'!$A$7:$D$906,2,0)),IF(ISERROR(VLOOKUP($A47,'[1]liste reference'!$B$7:$D$906,1,0)),"code non répertorié ou synonyme",VLOOKUP($A47,'[1]liste reference'!$B$7:$D$906,1,0)),VLOOKUP(A47,'[1]liste reference'!$A$7:$D$906,2,0)))))</f>
        <v/>
      </c>
      <c r="L47" s="222"/>
      <c r="M47" s="222"/>
      <c r="N47" s="222"/>
      <c r="O47" s="206"/>
      <c r="P47" s="207" t="str">
        <f aca="false">IF(ISTEXT(H47),"",(B47*$B$7/100)+(C47*$C$7/100))</f>
        <v/>
      </c>
      <c r="Q47" s="208" t="str">
        <f aca="false">IF(OR(ISTEXT(H47),P47=0),"",IF(P47&lt;0.1,1,IF(P47&lt;1,2,IF(P47&lt;10,3,IF(P47&lt;50,4,IF(P47&gt;=50,5,""))))))</f>
        <v/>
      </c>
      <c r="R47" s="208" t="n">
        <f aca="false">IF(ISERROR(Q47*I47),0,Q47*I47)</f>
        <v>0</v>
      </c>
      <c r="S47" s="208" t="n">
        <f aca="false">IF(ISERROR(Q47*I47*J47),0,Q47*I47*J47)</f>
        <v>0</v>
      </c>
      <c r="T47" s="223" t="n">
        <f aca="false">IF(ISERROR(Q47*J47),0,Q47*J47)</f>
        <v>0</v>
      </c>
      <c r="U47" s="209" t="str">
        <f aca="false">IF(AND(A47="",F47=0),"",IF(F47=0,"Il manque le(s) % de rec. !",""))</f>
        <v/>
      </c>
      <c r="V47" s="210"/>
      <c r="X47" s="211" t="str">
        <f aca="false">IF(A47="new.cod","NEW.COD",IF(AND((Y47=""),ISTEXT(A47)),A47,IF(Y47="","",INDEX('[1]liste reference'!$A$7:$A$906,Y47))))</f>
        <v/>
      </c>
      <c r="Y47" s="9" t="str">
        <f aca="false">IF(ISERROR(MATCH(A47,'[1]liste reference'!$A$7:$A$906,0)),IF(ISERROR(MATCH(A47,'[1]liste reference'!$B$7:$B$906,0)),"",(MATCH(A47,'[1]liste reference'!$B$7:$B$906,0))),(MATCH(A47,'[1]liste reference'!$A$7:$A$906,0)))</f>
        <v/>
      </c>
      <c r="Z47" s="212"/>
      <c r="AA47" s="213"/>
      <c r="BB47" s="9" t="str">
        <f aca="false">IF(A47="","",1)</f>
        <v/>
      </c>
    </row>
    <row r="48" customFormat="false" ht="12.75" hidden="false" customHeight="false" outlineLevel="0" collapsed="false">
      <c r="A48" s="214"/>
      <c r="B48" s="215"/>
      <c r="C48" s="216"/>
      <c r="D48" s="217" t="str">
        <f aca="false">IF(ISERROR(VLOOKUP($A48,'[1]liste reference'!$A$7:$D$906,2,0)),IF(ISERROR(VLOOKUP($A48,'[1]liste reference'!$B$7:$D$906,1,0)),"",VLOOKUP($A48,'[1]liste reference'!$B$7:$D$906,1,0)),VLOOKUP($A48,'[1]liste reference'!$A$7:$D$906,2,0))</f>
        <v/>
      </c>
      <c r="E48" s="217" t="n">
        <f aca="false">IF(D48="",0,VLOOKUP(D48,D$22:D47,1,0))</f>
        <v>0</v>
      </c>
      <c r="F48" s="227" t="n">
        <f aca="false">($B48*$B$7+$C48*$C$7)/100</f>
        <v>0</v>
      </c>
      <c r="G48" s="219" t="str">
        <f aca="false">IF(A48="","",IF(ISERROR(VLOOKUP($A48,'[1]liste reference'!$A$7:$P$906,13,0)),IF(ISERROR(VLOOKUP($A48,'[1]liste reference'!$B$7:$P$906,12,0)),"    -",VLOOKUP($A48,'[1]liste reference'!$B$7:$P$906,12,0)),VLOOKUP($A48,'[1]liste reference'!$A$7:$P$906,13,0)))</f>
        <v/>
      </c>
      <c r="H48" s="201" t="str">
        <f aca="false">IF(A48="","x",IF(ISERROR(VLOOKUP($A48,'[1]liste reference'!$A$7:$P$906,14,0)),IF(ISERROR(VLOOKUP($A48,'[1]liste reference'!$B$7:$P$906,13,0)),"x",VLOOKUP($A48,'[1]liste reference'!$B$7:$P$906,13,0)),VLOOKUP($A48,'[1]liste reference'!$A$7:$P$906,14,0)))</f>
        <v>x</v>
      </c>
      <c r="I48" s="220" t="str">
        <f aca="false">IF(ISNUMBER(H48),IF(ISERROR(VLOOKUP($A48,'[1]liste reference'!$A$7:$P$906,3,0)),IF(ISERROR(VLOOKUP($A48,'[1]liste reference'!$B$7:$P$906,2,0)),"",VLOOKUP($A48,'[1]liste reference'!$B$7:$P$906,2,0)),VLOOKUP($A48,'[1]liste reference'!$A$7:$P$906,3,0)),"")</f>
        <v/>
      </c>
      <c r="J48" s="203" t="str">
        <f aca="false">IF(ISNUMBER(H48),IF(ISERROR(VLOOKUP($A48,'[1]liste reference'!$A$7:$P$906,4,0)),IF(ISERROR(VLOOKUP($A48,'[1]liste reference'!$B$7:$P$906,3,0)),"",VLOOKUP($A48,'[1]liste reference'!$B$7:$P$906,3,0)),VLOOKUP($A48,'[1]liste reference'!$A$7:$P$906,4,0)),"")</f>
        <v/>
      </c>
      <c r="K48" s="221" t="str">
        <f aca="false">IF(A48="NEW.COD",AA48,IF(ISTEXT($E48),"DEJA SAISI !",IF(A48="","",IF(ISERROR(VLOOKUP($A48,'[1]liste reference'!$A$7:$D$906,2,0)),IF(ISERROR(VLOOKUP($A48,'[1]liste reference'!$B$7:$D$906,1,0)),"code non répertorié ou synonyme",VLOOKUP($A48,'[1]liste reference'!$B$7:$D$906,1,0)),VLOOKUP(A48,'[1]liste reference'!$A$7:$D$906,2,0)))))</f>
        <v/>
      </c>
      <c r="L48" s="222"/>
      <c r="M48" s="222"/>
      <c r="N48" s="222"/>
      <c r="O48" s="206"/>
      <c r="P48" s="207" t="str">
        <f aca="false">IF(ISTEXT(H48),"",(B48*$B$7/100)+(C48*$C$7/100))</f>
        <v/>
      </c>
      <c r="Q48" s="208" t="str">
        <f aca="false">IF(OR(ISTEXT(H48),P48=0),"",IF(P48&lt;0.1,1,IF(P48&lt;1,2,IF(P48&lt;10,3,IF(P48&lt;50,4,IF(P48&gt;=50,5,""))))))</f>
        <v/>
      </c>
      <c r="R48" s="208" t="n">
        <f aca="false">IF(ISERROR(Q48*I48),0,Q48*I48)</f>
        <v>0</v>
      </c>
      <c r="S48" s="208" t="n">
        <f aca="false">IF(ISERROR(Q48*I48*J48),0,Q48*I48*J48)</f>
        <v>0</v>
      </c>
      <c r="T48" s="223" t="n">
        <f aca="false">IF(ISERROR(Q48*J48),0,Q48*J48)</f>
        <v>0</v>
      </c>
      <c r="U48" s="209" t="str">
        <f aca="false">IF(AND(A48="",F48=0),"",IF(F48=0,"Il manque le(s) % de rec. !",""))</f>
        <v/>
      </c>
      <c r="V48" s="210"/>
      <c r="X48" s="211" t="str">
        <f aca="false">IF(A48="new.cod","NEW.COD",IF(AND((Y48=""),ISTEXT(A48)),A48,IF(Y48="","",INDEX('[1]liste reference'!$A$7:$A$906,Y48))))</f>
        <v/>
      </c>
      <c r="Y48" s="9" t="str">
        <f aca="false">IF(ISERROR(MATCH(A48,'[1]liste reference'!$A$7:$A$906,0)),IF(ISERROR(MATCH(A48,'[1]liste reference'!$B$7:$B$906,0)),"",(MATCH(A48,'[1]liste reference'!$B$7:$B$906,0))),(MATCH(A48,'[1]liste reference'!$A$7:$A$906,0)))</f>
        <v/>
      </c>
      <c r="Z48" s="212"/>
      <c r="AA48" s="213"/>
      <c r="BB48" s="9" t="str">
        <f aca="false">IF(A48="","",1)</f>
        <v/>
      </c>
    </row>
    <row r="49" customFormat="false" ht="12.75" hidden="false" customHeight="false" outlineLevel="0" collapsed="false">
      <c r="A49" s="214"/>
      <c r="B49" s="215"/>
      <c r="C49" s="216"/>
      <c r="D49" s="217" t="str">
        <f aca="false">IF(ISERROR(VLOOKUP($A49,'[1]liste reference'!$A$7:$D$906,2,0)),IF(ISERROR(VLOOKUP($A49,'[1]liste reference'!$B$7:$D$906,1,0)),"",VLOOKUP($A49,'[1]liste reference'!$B$7:$D$906,1,0)),VLOOKUP($A49,'[1]liste reference'!$A$7:$D$906,2,0))</f>
        <v/>
      </c>
      <c r="E49" s="217" t="n">
        <f aca="false">IF(D49="",0,VLOOKUP(D49,D$22:D48,1,0))</f>
        <v>0</v>
      </c>
      <c r="F49" s="227" t="n">
        <f aca="false">($B49*$B$7+$C49*$C$7)/100</f>
        <v>0</v>
      </c>
      <c r="G49" s="219" t="str">
        <f aca="false">IF(A49="","",IF(ISERROR(VLOOKUP($A49,'[1]liste reference'!$A$7:$P$906,13,0)),IF(ISERROR(VLOOKUP($A49,'[1]liste reference'!$B$7:$P$906,12,0)),"    -",VLOOKUP($A49,'[1]liste reference'!$B$7:$P$906,12,0)),VLOOKUP($A49,'[1]liste reference'!$A$7:$P$906,13,0)))</f>
        <v/>
      </c>
      <c r="H49" s="201" t="str">
        <f aca="false">IF(A49="","x",IF(ISERROR(VLOOKUP($A49,'[1]liste reference'!$A$7:$P$906,14,0)),IF(ISERROR(VLOOKUP($A49,'[1]liste reference'!$B$7:$P$906,13,0)),"x",VLOOKUP($A49,'[1]liste reference'!$B$7:$P$906,13,0)),VLOOKUP($A49,'[1]liste reference'!$A$7:$P$906,14,0)))</f>
        <v>x</v>
      </c>
      <c r="I49" s="220" t="str">
        <f aca="false">IF(ISNUMBER(H49),IF(ISERROR(VLOOKUP($A49,'[1]liste reference'!$A$7:$P$906,3,0)),IF(ISERROR(VLOOKUP($A49,'[1]liste reference'!$B$7:$P$906,2,0)),"",VLOOKUP($A49,'[1]liste reference'!$B$7:$P$906,2,0)),VLOOKUP($A49,'[1]liste reference'!$A$7:$P$906,3,0)),"")</f>
        <v/>
      </c>
      <c r="J49" s="203" t="str">
        <f aca="false">IF(ISNUMBER(H49),IF(ISERROR(VLOOKUP($A49,'[1]liste reference'!$A$7:$P$906,4,0)),IF(ISERROR(VLOOKUP($A49,'[1]liste reference'!$B$7:$P$906,3,0)),"",VLOOKUP($A49,'[1]liste reference'!$B$7:$P$906,3,0)),VLOOKUP($A49,'[1]liste reference'!$A$7:$P$906,4,0)),"")</f>
        <v/>
      </c>
      <c r="K49" s="221" t="str">
        <f aca="false">IF(A49="NEW.COD",AA49,IF(ISTEXT($E49),"DEJA SAISI !",IF(A49="","",IF(ISERROR(VLOOKUP($A49,'[1]liste reference'!$A$7:$D$906,2,0)),IF(ISERROR(VLOOKUP($A49,'[1]liste reference'!$B$7:$D$906,1,0)),"code non répertorié ou synonyme",VLOOKUP($A49,'[1]liste reference'!$B$7:$D$906,1,0)),VLOOKUP(A49,'[1]liste reference'!$A$7:$D$906,2,0)))))</f>
        <v/>
      </c>
      <c r="L49" s="222"/>
      <c r="M49" s="222"/>
      <c r="N49" s="222"/>
      <c r="O49" s="206"/>
      <c r="P49" s="207" t="str">
        <f aca="false">IF(ISTEXT(H49),"",(B49*$B$7/100)+(C49*$C$7/100))</f>
        <v/>
      </c>
      <c r="Q49" s="208" t="str">
        <f aca="false">IF(OR(ISTEXT(H49),P49=0),"",IF(P49&lt;0.1,1,IF(P49&lt;1,2,IF(P49&lt;10,3,IF(P49&lt;50,4,IF(P49&gt;=50,5,""))))))</f>
        <v/>
      </c>
      <c r="R49" s="208" t="n">
        <f aca="false">IF(ISERROR(Q49*I49),0,Q49*I49)</f>
        <v>0</v>
      </c>
      <c r="S49" s="208" t="n">
        <f aca="false">IF(ISERROR(Q49*I49*J49),0,Q49*I49*J49)</f>
        <v>0</v>
      </c>
      <c r="T49" s="223" t="n">
        <f aca="false">IF(ISERROR(Q49*J49),0,Q49*J49)</f>
        <v>0</v>
      </c>
      <c r="U49" s="209" t="str">
        <f aca="false">IF(AND(A49="",F49=0),"",IF(F49=0,"Il manque le(s) % de rec. !",""))</f>
        <v/>
      </c>
      <c r="V49" s="210"/>
      <c r="X49" s="211" t="str">
        <f aca="false">IF(A49="new.cod","NEW.COD",IF(AND((Y49=""),ISTEXT(A49)),A49,IF(Y49="","",INDEX('[1]liste reference'!$A$7:$A$906,Y49))))</f>
        <v/>
      </c>
      <c r="Y49" s="9" t="str">
        <f aca="false">IF(ISERROR(MATCH(A49,'[1]liste reference'!$A$7:$A$906,0)),IF(ISERROR(MATCH(A49,'[1]liste reference'!$B$7:$B$906,0)),"",(MATCH(A49,'[1]liste reference'!$B$7:$B$906,0))),(MATCH(A49,'[1]liste reference'!$A$7:$A$906,0)))</f>
        <v/>
      </c>
      <c r="Z49" s="212"/>
      <c r="AA49" s="213"/>
      <c r="BB49" s="9" t="str">
        <f aca="false">IF(A49="","",1)</f>
        <v/>
      </c>
    </row>
    <row r="50" customFormat="false" ht="12.75" hidden="false" customHeight="false" outlineLevel="0" collapsed="false">
      <c r="A50" s="214"/>
      <c r="B50" s="215"/>
      <c r="C50" s="216"/>
      <c r="D50" s="217" t="str">
        <f aca="false">IF(ISERROR(VLOOKUP($A50,'[1]liste reference'!$A$7:$D$906,2,0)),IF(ISERROR(VLOOKUP($A50,'[1]liste reference'!$B$7:$D$906,1,0)),"",VLOOKUP($A50,'[1]liste reference'!$B$7:$D$906,1,0)),VLOOKUP($A50,'[1]liste reference'!$A$7:$D$906,2,0))</f>
        <v/>
      </c>
      <c r="E50" s="217" t="n">
        <f aca="false">IF(D50="",0,VLOOKUP(D50,D$22:D49,1,0))</f>
        <v>0</v>
      </c>
      <c r="F50" s="227" t="n">
        <f aca="false">($B50*$B$7+$C50*$C$7)/100</f>
        <v>0</v>
      </c>
      <c r="G50" s="219" t="str">
        <f aca="false">IF(A50="","",IF(ISERROR(VLOOKUP($A50,'[1]liste reference'!$A$7:$P$906,13,0)),IF(ISERROR(VLOOKUP($A50,'[1]liste reference'!$B$7:$P$906,12,0)),"    -",VLOOKUP($A50,'[1]liste reference'!$B$7:$P$906,12,0)),VLOOKUP($A50,'[1]liste reference'!$A$7:$P$906,13,0)))</f>
        <v/>
      </c>
      <c r="H50" s="201" t="str">
        <f aca="false">IF(A50="","x",IF(ISERROR(VLOOKUP($A50,'[1]liste reference'!$A$7:$P$906,14,0)),IF(ISERROR(VLOOKUP($A50,'[1]liste reference'!$B$7:$P$906,13,0)),"x",VLOOKUP($A50,'[1]liste reference'!$B$7:$P$906,13,0)),VLOOKUP($A50,'[1]liste reference'!$A$7:$P$906,14,0)))</f>
        <v>x</v>
      </c>
      <c r="I50" s="220" t="str">
        <f aca="false">IF(ISNUMBER(H50),IF(ISERROR(VLOOKUP($A50,'[1]liste reference'!$A$7:$P$906,3,0)),IF(ISERROR(VLOOKUP($A50,'[1]liste reference'!$B$7:$P$906,2,0)),"",VLOOKUP($A50,'[1]liste reference'!$B$7:$P$906,2,0)),VLOOKUP($A50,'[1]liste reference'!$A$7:$P$906,3,0)),"")</f>
        <v/>
      </c>
      <c r="J50" s="203" t="str">
        <f aca="false">IF(ISNUMBER(H50),IF(ISERROR(VLOOKUP($A50,'[1]liste reference'!$A$7:$P$906,4,0)),IF(ISERROR(VLOOKUP($A50,'[1]liste reference'!$B$7:$P$906,3,0)),"",VLOOKUP($A50,'[1]liste reference'!$B$7:$P$906,3,0)),VLOOKUP($A50,'[1]liste reference'!$A$7:$P$906,4,0)),"")</f>
        <v/>
      </c>
      <c r="K50" s="221" t="str">
        <f aca="false">IF(A50="NEW.COD",AA50,IF(ISTEXT($E50),"DEJA SAISI !",IF(A50="","",IF(ISERROR(VLOOKUP($A50,'[1]liste reference'!$A$7:$D$906,2,0)),IF(ISERROR(VLOOKUP($A50,'[1]liste reference'!$B$7:$D$906,1,0)),"code non répertorié ou synonyme",VLOOKUP($A50,'[1]liste reference'!$B$7:$D$906,1,0)),VLOOKUP(A50,'[1]liste reference'!$A$7:$D$906,2,0)))))</f>
        <v/>
      </c>
      <c r="L50" s="222"/>
      <c r="M50" s="222"/>
      <c r="N50" s="222"/>
      <c r="O50" s="206"/>
      <c r="P50" s="207" t="str">
        <f aca="false">IF(ISTEXT(H50),"",(B50*$B$7/100)+(C50*$C$7/100))</f>
        <v/>
      </c>
      <c r="Q50" s="208" t="str">
        <f aca="false">IF(OR(ISTEXT(H50),P50=0),"",IF(P50&lt;0.1,1,IF(P50&lt;1,2,IF(P50&lt;10,3,IF(P50&lt;50,4,IF(P50&gt;=50,5,""))))))</f>
        <v/>
      </c>
      <c r="R50" s="208" t="n">
        <f aca="false">IF(ISERROR(Q50*I50),0,Q50*I50)</f>
        <v>0</v>
      </c>
      <c r="S50" s="208" t="n">
        <f aca="false">IF(ISERROR(Q50*I50*J50),0,Q50*I50*J50)</f>
        <v>0</v>
      </c>
      <c r="T50" s="223" t="n">
        <f aca="false">IF(ISERROR(Q50*J50),0,Q50*J50)</f>
        <v>0</v>
      </c>
      <c r="U50" s="209" t="str">
        <f aca="false">IF(AND(A50="",F50=0),"",IF(F50=0,"Il manque le(s) % de rec. !",""))</f>
        <v/>
      </c>
      <c r="V50" s="210"/>
      <c r="X50" s="211" t="str">
        <f aca="false">IF(A50="new.cod","NEW.COD",IF(AND((Y50=""),ISTEXT(A50)),A50,IF(Y50="","",INDEX('[1]liste reference'!$A$7:$A$906,Y50))))</f>
        <v/>
      </c>
      <c r="Y50" s="9" t="str">
        <f aca="false">IF(ISERROR(MATCH(A50,'[1]liste reference'!$A$7:$A$906,0)),IF(ISERROR(MATCH(A50,'[1]liste reference'!$B$7:$B$906,0)),"",(MATCH(A50,'[1]liste reference'!$B$7:$B$906,0))),(MATCH(A50,'[1]liste reference'!$A$7:$A$906,0)))</f>
        <v/>
      </c>
      <c r="Z50" s="212"/>
      <c r="AA50" s="213"/>
      <c r="BB50" s="9" t="str">
        <f aca="false">IF(A50="","",1)</f>
        <v/>
      </c>
    </row>
    <row r="51" customFormat="false" ht="12.75" hidden="false" customHeight="false" outlineLevel="0" collapsed="false">
      <c r="A51" s="214"/>
      <c r="B51" s="215"/>
      <c r="C51" s="216"/>
      <c r="D51" s="217" t="str">
        <f aca="false">IF(ISERROR(VLOOKUP($A51,'[1]liste reference'!$A$7:$D$906,2,0)),IF(ISERROR(VLOOKUP($A51,'[1]liste reference'!$B$7:$D$906,1,0)),"",VLOOKUP($A51,'[1]liste reference'!$B$7:$D$906,1,0)),VLOOKUP($A51,'[1]liste reference'!$A$7:$D$906,2,0))</f>
        <v/>
      </c>
      <c r="E51" s="217" t="n">
        <f aca="false">IF(D51="",0,VLOOKUP(D51,D$22:D50,1,0))</f>
        <v>0</v>
      </c>
      <c r="F51" s="227" t="n">
        <f aca="false">($B51*$B$7+$C51*$C$7)/100</f>
        <v>0</v>
      </c>
      <c r="G51" s="219" t="str">
        <f aca="false">IF(A51="","",IF(ISERROR(VLOOKUP($A51,'[1]liste reference'!$A$7:$P$906,13,0)),IF(ISERROR(VLOOKUP($A51,'[1]liste reference'!$B$7:$P$906,12,0)),"    -",VLOOKUP($A51,'[1]liste reference'!$B$7:$P$906,12,0)),VLOOKUP($A51,'[1]liste reference'!$A$7:$P$906,13,0)))</f>
        <v/>
      </c>
      <c r="H51" s="201" t="str">
        <f aca="false">IF(A51="","x",IF(ISERROR(VLOOKUP($A51,'[1]liste reference'!$A$7:$P$906,14,0)),IF(ISERROR(VLOOKUP($A51,'[1]liste reference'!$B$7:$P$906,13,0)),"x",VLOOKUP($A51,'[1]liste reference'!$B$7:$P$906,13,0)),VLOOKUP($A51,'[1]liste reference'!$A$7:$P$906,14,0)))</f>
        <v>x</v>
      </c>
      <c r="I51" s="220" t="str">
        <f aca="false">IF(ISNUMBER(H51),IF(ISERROR(VLOOKUP($A51,'[1]liste reference'!$A$7:$P$906,3,0)),IF(ISERROR(VLOOKUP($A51,'[1]liste reference'!$B$7:$P$906,2,0)),"",VLOOKUP($A51,'[1]liste reference'!$B$7:$P$906,2,0)),VLOOKUP($A51,'[1]liste reference'!$A$7:$P$906,3,0)),"")</f>
        <v/>
      </c>
      <c r="J51" s="203" t="str">
        <f aca="false">IF(ISNUMBER(H51),IF(ISERROR(VLOOKUP($A51,'[1]liste reference'!$A$7:$P$906,4,0)),IF(ISERROR(VLOOKUP($A51,'[1]liste reference'!$B$7:$P$906,3,0)),"",VLOOKUP($A51,'[1]liste reference'!$B$7:$P$906,3,0)),VLOOKUP($A51,'[1]liste reference'!$A$7:$P$906,4,0)),"")</f>
        <v/>
      </c>
      <c r="K51" s="221" t="str">
        <f aca="false">IF(A51="NEW.COD",AA51,IF(ISTEXT($E51),"DEJA SAISI !",IF(A51="","",IF(ISERROR(VLOOKUP($A51,'[1]liste reference'!$A$7:$D$906,2,0)),IF(ISERROR(VLOOKUP($A51,'[1]liste reference'!$B$7:$D$906,1,0)),"code non répertorié ou synonyme",VLOOKUP($A51,'[1]liste reference'!$B$7:$D$906,1,0)),VLOOKUP(A51,'[1]liste reference'!$A$7:$D$906,2,0)))))</f>
        <v/>
      </c>
      <c r="L51" s="222"/>
      <c r="M51" s="222"/>
      <c r="N51" s="222"/>
      <c r="O51" s="206"/>
      <c r="P51" s="207" t="str">
        <f aca="false">IF(ISTEXT(H51),"",(B51*$B$7/100)+(C51*$C$7/100))</f>
        <v/>
      </c>
      <c r="Q51" s="208" t="str">
        <f aca="false">IF(OR(ISTEXT(H51),P51=0),"",IF(P51&lt;0.1,1,IF(P51&lt;1,2,IF(P51&lt;10,3,IF(P51&lt;50,4,IF(P51&gt;=50,5,""))))))</f>
        <v/>
      </c>
      <c r="R51" s="208" t="n">
        <f aca="false">IF(ISERROR(Q51*I51),0,Q51*I51)</f>
        <v>0</v>
      </c>
      <c r="S51" s="208" t="n">
        <f aca="false">IF(ISERROR(Q51*I51*J51),0,Q51*I51*J51)</f>
        <v>0</v>
      </c>
      <c r="T51" s="223" t="n">
        <f aca="false">IF(ISERROR(Q51*J51),0,Q51*J51)</f>
        <v>0</v>
      </c>
      <c r="U51" s="209" t="str">
        <f aca="false">IF(AND(A51="",F51=0),"",IF(F51=0,"Il manque le(s) % de rec. !",""))</f>
        <v/>
      </c>
      <c r="V51" s="210"/>
      <c r="X51" s="211" t="str">
        <f aca="false">IF(A51="new.cod","NEW.COD",IF(AND((Y51=""),ISTEXT(A51)),A51,IF(Y51="","",INDEX('[1]liste reference'!$A$7:$A$906,Y51))))</f>
        <v/>
      </c>
      <c r="Y51" s="9" t="str">
        <f aca="false">IF(ISERROR(MATCH(A51,'[1]liste reference'!$A$7:$A$906,0)),IF(ISERROR(MATCH(A51,'[1]liste reference'!$B$7:$B$906,0)),"",(MATCH(A51,'[1]liste reference'!$B$7:$B$906,0))),(MATCH(A51,'[1]liste reference'!$A$7:$A$906,0)))</f>
        <v/>
      </c>
      <c r="Z51" s="212"/>
      <c r="AA51" s="213"/>
      <c r="BB51" s="9" t="str">
        <f aca="false">IF(A51="","",1)</f>
        <v/>
      </c>
    </row>
    <row r="52" customFormat="false" ht="12.75" hidden="false" customHeight="false" outlineLevel="0" collapsed="false">
      <c r="A52" s="214"/>
      <c r="B52" s="215"/>
      <c r="C52" s="216"/>
      <c r="D52" s="217" t="str">
        <f aca="false">IF(ISERROR(VLOOKUP($A52,'[1]liste reference'!$A$7:$D$906,2,0)),IF(ISERROR(VLOOKUP($A52,'[1]liste reference'!$B$7:$D$906,1,0)),"",VLOOKUP($A52,'[1]liste reference'!$B$7:$D$906,1,0)),VLOOKUP($A52,'[1]liste reference'!$A$7:$D$906,2,0))</f>
        <v/>
      </c>
      <c r="E52" s="217" t="n">
        <f aca="false">IF(D52="",0,VLOOKUP(D52,D$22:D51,1,0))</f>
        <v>0</v>
      </c>
      <c r="F52" s="227" t="n">
        <f aca="false">($B52*$B$7+$C52*$C$7)/100</f>
        <v>0</v>
      </c>
      <c r="G52" s="219" t="str">
        <f aca="false">IF(A52="","",IF(ISERROR(VLOOKUP($A52,'[1]liste reference'!$A$7:$P$906,13,0)),IF(ISERROR(VLOOKUP($A52,'[1]liste reference'!$B$7:$P$906,12,0)),"    -",VLOOKUP($A52,'[1]liste reference'!$B$7:$P$906,12,0)),VLOOKUP($A52,'[1]liste reference'!$A$7:$P$906,13,0)))</f>
        <v/>
      </c>
      <c r="H52" s="201" t="str">
        <f aca="false">IF(A52="","x",IF(ISERROR(VLOOKUP($A52,'[1]liste reference'!$A$7:$P$906,14,0)),IF(ISERROR(VLOOKUP($A52,'[1]liste reference'!$B$7:$P$906,13,0)),"x",VLOOKUP($A52,'[1]liste reference'!$B$7:$P$906,13,0)),VLOOKUP($A52,'[1]liste reference'!$A$7:$P$906,14,0)))</f>
        <v>x</v>
      </c>
      <c r="I52" s="220" t="str">
        <f aca="false">IF(ISNUMBER(H52),IF(ISERROR(VLOOKUP($A52,'[1]liste reference'!$A$7:$P$906,3,0)),IF(ISERROR(VLOOKUP($A52,'[1]liste reference'!$B$7:$P$906,2,0)),"",VLOOKUP($A52,'[1]liste reference'!$B$7:$P$906,2,0)),VLOOKUP($A52,'[1]liste reference'!$A$7:$P$906,3,0)),"")</f>
        <v/>
      </c>
      <c r="J52" s="203" t="str">
        <f aca="false">IF(ISNUMBER(H52),IF(ISERROR(VLOOKUP($A52,'[1]liste reference'!$A$7:$P$906,4,0)),IF(ISERROR(VLOOKUP($A52,'[1]liste reference'!$B$7:$P$906,3,0)),"",VLOOKUP($A52,'[1]liste reference'!$B$7:$P$906,3,0)),VLOOKUP($A52,'[1]liste reference'!$A$7:$P$906,4,0)),"")</f>
        <v/>
      </c>
      <c r="K52" s="221" t="str">
        <f aca="false">IF(A52="NEW.COD",AA52,IF(ISTEXT($E52),"DEJA SAISI !",IF(A52="","",IF(ISERROR(VLOOKUP($A52,'[1]liste reference'!$A$7:$D$906,2,0)),IF(ISERROR(VLOOKUP($A52,'[1]liste reference'!$B$7:$D$906,1,0)),"code non répertorié ou synonyme",VLOOKUP($A52,'[1]liste reference'!$B$7:$D$906,1,0)),VLOOKUP(A52,'[1]liste reference'!$A$7:$D$906,2,0)))))</f>
        <v/>
      </c>
      <c r="L52" s="222"/>
      <c r="M52" s="222"/>
      <c r="N52" s="222"/>
      <c r="O52" s="206"/>
      <c r="P52" s="207" t="str">
        <f aca="false">IF(ISTEXT(H52),"",(B52*$B$7/100)+(C52*$C$7/100))</f>
        <v/>
      </c>
      <c r="Q52" s="208" t="str">
        <f aca="false">IF(OR(ISTEXT(H52),P52=0),"",IF(P52&lt;0.1,1,IF(P52&lt;1,2,IF(P52&lt;10,3,IF(P52&lt;50,4,IF(P52&gt;=50,5,""))))))</f>
        <v/>
      </c>
      <c r="R52" s="208" t="n">
        <f aca="false">IF(ISERROR(Q52*I52),0,Q52*I52)</f>
        <v>0</v>
      </c>
      <c r="S52" s="208" t="n">
        <f aca="false">IF(ISERROR(Q52*I52*J52),0,Q52*I52*J52)</f>
        <v>0</v>
      </c>
      <c r="T52" s="223" t="n">
        <f aca="false">IF(ISERROR(Q52*J52),0,Q52*J52)</f>
        <v>0</v>
      </c>
      <c r="U52" s="209" t="str">
        <f aca="false">IF(AND(A52="",F52=0),"",IF(F52=0,"Il manque le(s) % de rec. !",""))</f>
        <v/>
      </c>
      <c r="V52" s="210"/>
      <c r="X52" s="211" t="str">
        <f aca="false">IF(A52="new.cod","NEW.COD",IF(AND((Y52=""),ISTEXT(A52)),A52,IF(Y52="","",INDEX('[1]liste reference'!$A$7:$A$906,Y52))))</f>
        <v/>
      </c>
      <c r="Y52" s="9" t="str">
        <f aca="false">IF(ISERROR(MATCH(A52,'[1]liste reference'!$A$7:$A$906,0)),IF(ISERROR(MATCH(A52,'[1]liste reference'!$B$7:$B$906,0)),"",(MATCH(A52,'[1]liste reference'!$B$7:$B$906,0))),(MATCH(A52,'[1]liste reference'!$A$7:$A$906,0)))</f>
        <v/>
      </c>
      <c r="Z52" s="212"/>
      <c r="AA52" s="213"/>
      <c r="BB52" s="9" t="str">
        <f aca="false">IF(A52="","",1)</f>
        <v/>
      </c>
    </row>
    <row r="53" customFormat="false" ht="12.75" hidden="false" customHeight="false" outlineLevel="0" collapsed="false">
      <c r="A53" s="214"/>
      <c r="B53" s="215"/>
      <c r="C53" s="216"/>
      <c r="D53" s="217" t="str">
        <f aca="false">IF(ISERROR(VLOOKUP($A53,'[1]liste reference'!$A$7:$D$906,2,0)),IF(ISERROR(VLOOKUP($A53,'[1]liste reference'!$B$7:$D$906,1,0)),"",VLOOKUP($A53,'[1]liste reference'!$B$7:$D$906,1,0)),VLOOKUP($A53,'[1]liste reference'!$A$7:$D$906,2,0))</f>
        <v/>
      </c>
      <c r="E53" s="217" t="n">
        <f aca="false">IF(D53="",0,VLOOKUP(D53,D$22:D52,1,0))</f>
        <v>0</v>
      </c>
      <c r="F53" s="227" t="n">
        <f aca="false">($B53*$B$7+$C53*$C$7)/100</f>
        <v>0</v>
      </c>
      <c r="G53" s="219" t="str">
        <f aca="false">IF(A53="","",IF(ISERROR(VLOOKUP($A53,'[1]liste reference'!$A$7:$P$906,13,0)),IF(ISERROR(VLOOKUP($A53,'[1]liste reference'!$B$7:$P$906,12,0)),"    -",VLOOKUP($A53,'[1]liste reference'!$B$7:$P$906,12,0)),VLOOKUP($A53,'[1]liste reference'!$A$7:$P$906,13,0)))</f>
        <v/>
      </c>
      <c r="H53" s="201" t="str">
        <f aca="false">IF(A53="","x",IF(ISERROR(VLOOKUP($A53,'[1]liste reference'!$A$7:$P$906,14,0)),IF(ISERROR(VLOOKUP($A53,'[1]liste reference'!$B$7:$P$906,13,0)),"x",VLOOKUP($A53,'[1]liste reference'!$B$7:$P$906,13,0)),VLOOKUP($A53,'[1]liste reference'!$A$7:$P$906,14,0)))</f>
        <v>x</v>
      </c>
      <c r="I53" s="220" t="str">
        <f aca="false">IF(ISNUMBER(H53),IF(ISERROR(VLOOKUP($A53,'[1]liste reference'!$A$7:$P$906,3,0)),IF(ISERROR(VLOOKUP($A53,'[1]liste reference'!$B$7:$P$906,2,0)),"",VLOOKUP($A53,'[1]liste reference'!$B$7:$P$906,2,0)),VLOOKUP($A53,'[1]liste reference'!$A$7:$P$906,3,0)),"")</f>
        <v/>
      </c>
      <c r="J53" s="203" t="str">
        <f aca="false">IF(ISNUMBER(H53),IF(ISERROR(VLOOKUP($A53,'[1]liste reference'!$A$7:$P$906,4,0)),IF(ISERROR(VLOOKUP($A53,'[1]liste reference'!$B$7:$P$906,3,0)),"",VLOOKUP($A53,'[1]liste reference'!$B$7:$P$906,3,0)),VLOOKUP($A53,'[1]liste reference'!$A$7:$P$906,4,0)),"")</f>
        <v/>
      </c>
      <c r="K53" s="221" t="str">
        <f aca="false">IF(A53="NEW.COD",AA53,IF(ISTEXT($E53),"DEJA SAISI !",IF(A53="","",IF(ISERROR(VLOOKUP($A53,'[1]liste reference'!$A$7:$D$906,2,0)),IF(ISERROR(VLOOKUP($A53,'[1]liste reference'!$B$7:$D$906,1,0)),"code non répertorié ou synonyme",VLOOKUP($A53,'[1]liste reference'!$B$7:$D$906,1,0)),VLOOKUP(A53,'[1]liste reference'!$A$7:$D$906,2,0)))))</f>
        <v/>
      </c>
      <c r="L53" s="222"/>
      <c r="M53" s="222"/>
      <c r="N53" s="222"/>
      <c r="O53" s="206"/>
      <c r="P53" s="207" t="str">
        <f aca="false">IF(ISTEXT(H53),"",(B53*$B$7/100)+(C53*$C$7/100))</f>
        <v/>
      </c>
      <c r="Q53" s="208" t="str">
        <f aca="false">IF(OR(ISTEXT(H53),P53=0),"",IF(P53&lt;0.1,1,IF(P53&lt;1,2,IF(P53&lt;10,3,IF(P53&lt;50,4,IF(P53&gt;=50,5,""))))))</f>
        <v/>
      </c>
      <c r="R53" s="208" t="n">
        <f aca="false">IF(ISERROR(Q53*I53),0,Q53*I53)</f>
        <v>0</v>
      </c>
      <c r="S53" s="208" t="n">
        <f aca="false">IF(ISERROR(Q53*I53*J53),0,Q53*I53*J53)</f>
        <v>0</v>
      </c>
      <c r="T53" s="223" t="n">
        <f aca="false">IF(ISERROR(Q53*J53),0,Q53*J53)</f>
        <v>0</v>
      </c>
      <c r="U53" s="209" t="str">
        <f aca="false">IF(AND(A53="",F53=0),"",IF(F53=0,"Il manque le(s) % de rec. !",""))</f>
        <v/>
      </c>
      <c r="V53" s="210"/>
      <c r="X53" s="211" t="str">
        <f aca="false">IF(A53="new.cod","NEW.COD",IF(AND((Y53=""),ISTEXT(A53)),A53,IF(Y53="","",INDEX('[1]liste reference'!$A$7:$A$906,Y53))))</f>
        <v/>
      </c>
      <c r="Y53" s="9" t="str">
        <f aca="false">IF(ISERROR(MATCH(A53,'[1]liste reference'!$A$7:$A$906,0)),IF(ISERROR(MATCH(A53,'[1]liste reference'!$B$7:$B$906,0)),"",(MATCH(A53,'[1]liste reference'!$B$7:$B$906,0))),(MATCH(A53,'[1]liste reference'!$A$7:$A$906,0)))</f>
        <v/>
      </c>
      <c r="Z53" s="212"/>
      <c r="AA53" s="213"/>
      <c r="BB53" s="9" t="str">
        <f aca="false">IF(A53="","",1)</f>
        <v/>
      </c>
    </row>
    <row r="54" customFormat="false" ht="12.75" hidden="false" customHeight="false" outlineLevel="0" collapsed="false">
      <c r="A54" s="214"/>
      <c r="B54" s="215"/>
      <c r="C54" s="216"/>
      <c r="D54" s="217" t="str">
        <f aca="false">IF(ISERROR(VLOOKUP($A54,'[1]liste reference'!$A$7:$D$906,2,0)),IF(ISERROR(VLOOKUP($A54,'[1]liste reference'!$B$7:$D$906,1,0)),"",VLOOKUP($A54,'[1]liste reference'!$B$7:$D$906,1,0)),VLOOKUP($A54,'[1]liste reference'!$A$7:$D$906,2,0))</f>
        <v/>
      </c>
      <c r="E54" s="217" t="n">
        <f aca="false">IF(D54="",0,VLOOKUP(D54,D$22:D53,1,0))</f>
        <v>0</v>
      </c>
      <c r="F54" s="227" t="n">
        <f aca="false">($B54*$B$7+$C54*$C$7)/100</f>
        <v>0</v>
      </c>
      <c r="G54" s="219" t="str">
        <f aca="false">IF(A54="","",IF(ISERROR(VLOOKUP($A54,'[1]liste reference'!$A$7:$P$906,13,0)),IF(ISERROR(VLOOKUP($A54,'[1]liste reference'!$B$7:$P$906,12,0)),"    -",VLOOKUP($A54,'[1]liste reference'!$B$7:$P$906,12,0)),VLOOKUP($A54,'[1]liste reference'!$A$7:$P$906,13,0)))</f>
        <v/>
      </c>
      <c r="H54" s="201" t="str">
        <f aca="false">IF(A54="","x",IF(ISERROR(VLOOKUP($A54,'[1]liste reference'!$A$7:$P$906,14,0)),IF(ISERROR(VLOOKUP($A54,'[1]liste reference'!$B$7:$P$906,13,0)),"x",VLOOKUP($A54,'[1]liste reference'!$B$7:$P$906,13,0)),VLOOKUP($A54,'[1]liste reference'!$A$7:$P$906,14,0)))</f>
        <v>x</v>
      </c>
      <c r="I54" s="220" t="str">
        <f aca="false">IF(ISNUMBER(H54),IF(ISERROR(VLOOKUP($A54,'[1]liste reference'!$A$7:$P$906,3,0)),IF(ISERROR(VLOOKUP($A54,'[1]liste reference'!$B$7:$P$906,2,0)),"",VLOOKUP($A54,'[1]liste reference'!$B$7:$P$906,2,0)),VLOOKUP($A54,'[1]liste reference'!$A$7:$P$906,3,0)),"")</f>
        <v/>
      </c>
      <c r="J54" s="203" t="str">
        <f aca="false">IF(ISNUMBER(H54),IF(ISERROR(VLOOKUP($A54,'[1]liste reference'!$A$7:$P$906,4,0)),IF(ISERROR(VLOOKUP($A54,'[1]liste reference'!$B$7:$P$906,3,0)),"",VLOOKUP($A54,'[1]liste reference'!$B$7:$P$906,3,0)),VLOOKUP($A54,'[1]liste reference'!$A$7:$P$906,4,0)),"")</f>
        <v/>
      </c>
      <c r="K54" s="221" t="str">
        <f aca="false">IF(A54="NEW.COD",AA54,IF(ISTEXT($E54),"DEJA SAISI !",IF(A54="","",IF(ISERROR(VLOOKUP($A54,'[1]liste reference'!$A$7:$D$906,2,0)),IF(ISERROR(VLOOKUP($A54,'[1]liste reference'!$B$7:$D$906,1,0)),"code non répertorié ou synonyme",VLOOKUP($A54,'[1]liste reference'!$B$7:$D$906,1,0)),VLOOKUP(A54,'[1]liste reference'!$A$7:$D$906,2,0)))))</f>
        <v/>
      </c>
      <c r="L54" s="222"/>
      <c r="M54" s="222"/>
      <c r="N54" s="222"/>
      <c r="O54" s="206"/>
      <c r="P54" s="207" t="str">
        <f aca="false">IF(ISTEXT(H54),"",(B54*$B$7/100)+(C54*$C$7/100))</f>
        <v/>
      </c>
      <c r="Q54" s="208" t="str">
        <f aca="false">IF(OR(ISTEXT(H54),P54=0),"",IF(P54&lt;0.1,1,IF(P54&lt;1,2,IF(P54&lt;10,3,IF(P54&lt;50,4,IF(P54&gt;=50,5,""))))))</f>
        <v/>
      </c>
      <c r="R54" s="208" t="n">
        <f aca="false">IF(ISERROR(Q54*I54),0,Q54*I54)</f>
        <v>0</v>
      </c>
      <c r="S54" s="208" t="n">
        <f aca="false">IF(ISERROR(Q54*I54*J54),0,Q54*I54*J54)</f>
        <v>0</v>
      </c>
      <c r="T54" s="223" t="n">
        <f aca="false">IF(ISERROR(Q54*J54),0,Q54*J54)</f>
        <v>0</v>
      </c>
      <c r="U54" s="209" t="str">
        <f aca="false">IF(AND(A54="",F54=0),"",IF(F54=0,"Il manque le(s) % de rec. !",""))</f>
        <v/>
      </c>
      <c r="V54" s="210"/>
      <c r="X54" s="211" t="str">
        <f aca="false">IF(A54="new.cod","NEW.COD",IF(AND((Y54=""),ISTEXT(A54)),A54,IF(Y54="","",INDEX('[1]liste reference'!$A$7:$A$906,Y54))))</f>
        <v/>
      </c>
      <c r="Y54" s="9" t="str">
        <f aca="false">IF(ISERROR(MATCH(A54,'[1]liste reference'!$A$7:$A$906,0)),IF(ISERROR(MATCH(A54,'[1]liste reference'!$B$7:$B$906,0)),"",(MATCH(A54,'[1]liste reference'!$B$7:$B$906,0))),(MATCH(A54,'[1]liste reference'!$A$7:$A$906,0)))</f>
        <v/>
      </c>
      <c r="Z54" s="212"/>
      <c r="AA54" s="213"/>
      <c r="BB54" s="9" t="str">
        <f aca="false">IF(A54="","",1)</f>
        <v/>
      </c>
    </row>
    <row r="55" customFormat="false" ht="12.75" hidden="false" customHeight="false" outlineLevel="0" collapsed="false">
      <c r="A55" s="214"/>
      <c r="B55" s="215"/>
      <c r="C55" s="216"/>
      <c r="D55" s="217" t="str">
        <f aca="false">IF(ISERROR(VLOOKUP($A55,'[1]liste reference'!$A$7:$D$906,2,0)),IF(ISERROR(VLOOKUP($A55,'[1]liste reference'!$B$7:$D$906,1,0)),"",VLOOKUP($A55,'[1]liste reference'!$B$7:$D$906,1,0)),VLOOKUP($A55,'[1]liste reference'!$A$7:$D$906,2,0))</f>
        <v/>
      </c>
      <c r="E55" s="217" t="n">
        <f aca="false">IF(D55="",0,VLOOKUP(D55,D$22:D54,1,0))</f>
        <v>0</v>
      </c>
      <c r="F55" s="227" t="n">
        <f aca="false">($B55*$B$7+$C55*$C$7)/100</f>
        <v>0</v>
      </c>
      <c r="G55" s="219" t="str">
        <f aca="false">IF(A55="","",IF(ISERROR(VLOOKUP($A55,'[1]liste reference'!$A$7:$P$906,13,0)),IF(ISERROR(VLOOKUP($A55,'[1]liste reference'!$B$7:$P$906,12,0)),"    -",VLOOKUP($A55,'[1]liste reference'!$B$7:$P$906,12,0)),VLOOKUP($A55,'[1]liste reference'!$A$7:$P$906,13,0)))</f>
        <v/>
      </c>
      <c r="H55" s="201" t="str">
        <f aca="false">IF(A55="","x",IF(ISERROR(VLOOKUP($A55,'[1]liste reference'!$A$7:$P$906,14,0)),IF(ISERROR(VLOOKUP($A55,'[1]liste reference'!$B$7:$P$906,13,0)),"x",VLOOKUP($A55,'[1]liste reference'!$B$7:$P$906,13,0)),VLOOKUP($A55,'[1]liste reference'!$A$7:$P$906,14,0)))</f>
        <v>x</v>
      </c>
      <c r="I55" s="220" t="str">
        <f aca="false">IF(ISNUMBER(H55),IF(ISERROR(VLOOKUP($A55,'[1]liste reference'!$A$7:$P$906,3,0)),IF(ISERROR(VLOOKUP($A55,'[1]liste reference'!$B$7:$P$906,2,0)),"",VLOOKUP($A55,'[1]liste reference'!$B$7:$P$906,2,0)),VLOOKUP($A55,'[1]liste reference'!$A$7:$P$906,3,0)),"")</f>
        <v/>
      </c>
      <c r="J55" s="203" t="str">
        <f aca="false">IF(ISNUMBER(H55),IF(ISERROR(VLOOKUP($A55,'[1]liste reference'!$A$7:$P$906,4,0)),IF(ISERROR(VLOOKUP($A55,'[1]liste reference'!$B$7:$P$906,3,0)),"",VLOOKUP($A55,'[1]liste reference'!$B$7:$P$906,3,0)),VLOOKUP($A55,'[1]liste reference'!$A$7:$P$906,4,0)),"")</f>
        <v/>
      </c>
      <c r="K55" s="221" t="str">
        <f aca="false">IF(A55="NEW.COD",AA55,IF(ISTEXT($E55),"DEJA SAISI !",IF(A55="","",IF(ISERROR(VLOOKUP($A55,'[1]liste reference'!$A$7:$D$906,2,0)),IF(ISERROR(VLOOKUP($A55,'[1]liste reference'!$B$7:$D$906,1,0)),"code non répertorié ou synonyme",VLOOKUP($A55,'[1]liste reference'!$B$7:$D$906,1,0)),VLOOKUP(A55,'[1]liste reference'!$A$7:$D$906,2,0)))))</f>
        <v/>
      </c>
      <c r="L55" s="222"/>
      <c r="M55" s="222"/>
      <c r="N55" s="222"/>
      <c r="O55" s="206"/>
      <c r="P55" s="207" t="str">
        <f aca="false">IF(ISTEXT(H55),"",(B55*$B$7/100)+(C55*$C$7/100))</f>
        <v/>
      </c>
      <c r="Q55" s="208" t="str">
        <f aca="false">IF(OR(ISTEXT(H55),P55=0),"",IF(P55&lt;0.1,1,IF(P55&lt;1,2,IF(P55&lt;10,3,IF(P55&lt;50,4,IF(P55&gt;=50,5,""))))))</f>
        <v/>
      </c>
      <c r="R55" s="208" t="n">
        <f aca="false">IF(ISERROR(Q55*I55),0,Q55*I55)</f>
        <v>0</v>
      </c>
      <c r="S55" s="208" t="n">
        <f aca="false">IF(ISERROR(Q55*I55*J55),0,Q55*I55*J55)</f>
        <v>0</v>
      </c>
      <c r="T55" s="223" t="n">
        <f aca="false">IF(ISERROR(Q55*J55),0,Q55*J55)</f>
        <v>0</v>
      </c>
      <c r="U55" s="209" t="str">
        <f aca="false">IF(AND(A55="",F55=0),"",IF(F55=0,"Il manque le(s) % de rec. !",""))</f>
        <v/>
      </c>
      <c r="V55" s="210"/>
      <c r="X55" s="211" t="str">
        <f aca="false">IF(A55="new.cod","NEW.COD",IF(AND((Y55=""),ISTEXT(A55)),A55,IF(Y55="","",INDEX('[1]liste reference'!$A$7:$A$906,Y55))))</f>
        <v/>
      </c>
      <c r="Y55" s="9" t="str">
        <f aca="false">IF(ISERROR(MATCH(A55,'[1]liste reference'!$A$7:$A$906,0)),IF(ISERROR(MATCH(A55,'[1]liste reference'!$B$7:$B$906,0)),"",(MATCH(A55,'[1]liste reference'!$B$7:$B$906,0))),(MATCH(A55,'[1]liste reference'!$A$7:$A$906,0)))</f>
        <v/>
      </c>
      <c r="Z55" s="212"/>
      <c r="AA55" s="213"/>
      <c r="BB55" s="9" t="str">
        <f aca="false">IF(A55="","",1)</f>
        <v/>
      </c>
    </row>
    <row r="56" customFormat="false" ht="12.75" hidden="false" customHeight="false" outlineLevel="0" collapsed="false">
      <c r="A56" s="214"/>
      <c r="B56" s="215"/>
      <c r="C56" s="216"/>
      <c r="D56" s="217" t="str">
        <f aca="false">IF(ISERROR(VLOOKUP($A56,'[1]liste reference'!$A$7:$D$906,2,0)),IF(ISERROR(VLOOKUP($A56,'[1]liste reference'!$B$7:$D$906,1,0)),"",VLOOKUP($A56,'[1]liste reference'!$B$7:$D$906,1,0)),VLOOKUP($A56,'[1]liste reference'!$A$7:$D$906,2,0))</f>
        <v/>
      </c>
      <c r="E56" s="217" t="n">
        <f aca="false">IF(D56="",0,VLOOKUP(D56,D$22:D55,1,0))</f>
        <v>0</v>
      </c>
      <c r="F56" s="227" t="n">
        <f aca="false">($B56*$B$7+$C56*$C$7)/100</f>
        <v>0</v>
      </c>
      <c r="G56" s="219" t="str">
        <f aca="false">IF(A56="","",IF(ISERROR(VLOOKUP($A56,'[1]liste reference'!$A$7:$P$906,13,0)),IF(ISERROR(VLOOKUP($A56,'[1]liste reference'!$B$7:$P$906,12,0)),"    -",VLOOKUP($A56,'[1]liste reference'!$B$7:$P$906,12,0)),VLOOKUP($A56,'[1]liste reference'!$A$7:$P$906,13,0)))</f>
        <v/>
      </c>
      <c r="H56" s="201" t="str">
        <f aca="false">IF(A56="","x",IF(ISERROR(VLOOKUP($A56,'[1]liste reference'!$A$7:$P$906,14,0)),IF(ISERROR(VLOOKUP($A56,'[1]liste reference'!$B$7:$P$906,13,0)),"x",VLOOKUP($A56,'[1]liste reference'!$B$7:$P$906,13,0)),VLOOKUP($A56,'[1]liste reference'!$A$7:$P$906,14,0)))</f>
        <v>x</v>
      </c>
      <c r="I56" s="220" t="str">
        <f aca="false">IF(ISNUMBER(H56),IF(ISERROR(VLOOKUP($A56,'[1]liste reference'!$A$7:$P$906,3,0)),IF(ISERROR(VLOOKUP($A56,'[1]liste reference'!$B$7:$P$906,2,0)),"",VLOOKUP($A56,'[1]liste reference'!$B$7:$P$906,2,0)),VLOOKUP($A56,'[1]liste reference'!$A$7:$P$906,3,0)),"")</f>
        <v/>
      </c>
      <c r="J56" s="203" t="str">
        <f aca="false">IF(ISNUMBER(H56),IF(ISERROR(VLOOKUP($A56,'[1]liste reference'!$A$7:$P$906,4,0)),IF(ISERROR(VLOOKUP($A56,'[1]liste reference'!$B$7:$P$906,3,0)),"",VLOOKUP($A56,'[1]liste reference'!$B$7:$P$906,3,0)),VLOOKUP($A56,'[1]liste reference'!$A$7:$P$906,4,0)),"")</f>
        <v/>
      </c>
      <c r="K56" s="221" t="str">
        <f aca="false">IF(A56="NEW.COD",AA56,IF(ISTEXT($E56),"DEJA SAISI !",IF(A56="","",IF(ISERROR(VLOOKUP($A56,'[1]liste reference'!$A$7:$D$906,2,0)),IF(ISERROR(VLOOKUP($A56,'[1]liste reference'!$B$7:$D$906,1,0)),"code non répertorié ou synonyme",VLOOKUP($A56,'[1]liste reference'!$B$7:$D$906,1,0)),VLOOKUP(A56,'[1]liste reference'!$A$7:$D$906,2,0)))))</f>
        <v/>
      </c>
      <c r="L56" s="222"/>
      <c r="M56" s="222"/>
      <c r="N56" s="222"/>
      <c r="O56" s="206"/>
      <c r="P56" s="207" t="str">
        <f aca="false">IF(ISTEXT(H56),"",(B56*$B$7/100)+(C56*$C$7/100))</f>
        <v/>
      </c>
      <c r="Q56" s="208" t="str">
        <f aca="false">IF(OR(ISTEXT(H56),P56=0),"",IF(P56&lt;0.1,1,IF(P56&lt;1,2,IF(P56&lt;10,3,IF(P56&lt;50,4,IF(P56&gt;=50,5,""))))))</f>
        <v/>
      </c>
      <c r="R56" s="208" t="n">
        <f aca="false">IF(ISERROR(Q56*I56),0,Q56*I56)</f>
        <v>0</v>
      </c>
      <c r="S56" s="208" t="n">
        <f aca="false">IF(ISERROR(Q56*I56*J56),0,Q56*I56*J56)</f>
        <v>0</v>
      </c>
      <c r="T56" s="223" t="n">
        <f aca="false">IF(ISERROR(Q56*J56),0,Q56*J56)</f>
        <v>0</v>
      </c>
      <c r="U56" s="209" t="str">
        <f aca="false">IF(AND(A56="",F56=0),"",IF(F56=0,"Il manque le(s) % de rec. !",""))</f>
        <v/>
      </c>
      <c r="V56" s="210"/>
      <c r="X56" s="211" t="str">
        <f aca="false">IF(A56="new.cod","NEW.COD",IF(AND((Y56=""),ISTEXT(A56)),A56,IF(Y56="","",INDEX('[1]liste reference'!$A$7:$A$906,Y56))))</f>
        <v/>
      </c>
      <c r="Y56" s="9" t="str">
        <f aca="false">IF(ISERROR(MATCH(A56,'[1]liste reference'!$A$7:$A$906,0)),IF(ISERROR(MATCH(A56,'[1]liste reference'!$B$7:$B$906,0)),"",(MATCH(A56,'[1]liste reference'!$B$7:$B$906,0))),(MATCH(A56,'[1]liste reference'!$A$7:$A$906,0)))</f>
        <v/>
      </c>
      <c r="Z56" s="212"/>
      <c r="AA56" s="213"/>
      <c r="BB56" s="9" t="str">
        <f aca="false">IF(A56="","",1)</f>
        <v/>
      </c>
    </row>
    <row r="57" customFormat="false" ht="12.75" hidden="false" customHeight="false" outlineLevel="0" collapsed="false">
      <c r="A57" s="214"/>
      <c r="B57" s="215"/>
      <c r="C57" s="216"/>
      <c r="D57" s="217" t="str">
        <f aca="false">IF(ISERROR(VLOOKUP($A57,'[1]liste reference'!$A$7:$D$906,2,0)),IF(ISERROR(VLOOKUP($A57,'[1]liste reference'!$B$7:$D$906,1,0)),"",VLOOKUP($A57,'[1]liste reference'!$B$7:$D$906,1,0)),VLOOKUP($A57,'[1]liste reference'!$A$7:$D$906,2,0))</f>
        <v/>
      </c>
      <c r="E57" s="217" t="n">
        <f aca="false">IF(D57="",0,VLOOKUP(D57,D$22:D56,1,0))</f>
        <v>0</v>
      </c>
      <c r="F57" s="227" t="n">
        <f aca="false">($B57*$B$7+$C57*$C$7)/100</f>
        <v>0</v>
      </c>
      <c r="G57" s="219" t="str">
        <f aca="false">IF(A57="","",IF(ISERROR(VLOOKUP($A57,'[1]liste reference'!$A$7:$P$906,13,0)),IF(ISERROR(VLOOKUP($A57,'[1]liste reference'!$B$7:$P$906,12,0)),"    -",VLOOKUP($A57,'[1]liste reference'!$B$7:$P$906,12,0)),VLOOKUP($A57,'[1]liste reference'!$A$7:$P$906,13,0)))</f>
        <v/>
      </c>
      <c r="H57" s="201" t="str">
        <f aca="false">IF(A57="","x",IF(ISERROR(VLOOKUP($A57,'[1]liste reference'!$A$7:$P$906,14,0)),IF(ISERROR(VLOOKUP($A57,'[1]liste reference'!$B$7:$P$906,13,0)),"x",VLOOKUP($A57,'[1]liste reference'!$B$7:$P$906,13,0)),VLOOKUP($A57,'[1]liste reference'!$A$7:$P$906,14,0)))</f>
        <v>x</v>
      </c>
      <c r="I57" s="220" t="str">
        <f aca="false">IF(ISNUMBER(H57),IF(ISERROR(VLOOKUP($A57,'[1]liste reference'!$A$7:$P$906,3,0)),IF(ISERROR(VLOOKUP($A57,'[1]liste reference'!$B$7:$P$906,2,0)),"",VLOOKUP($A57,'[1]liste reference'!$B$7:$P$906,2,0)),VLOOKUP($A57,'[1]liste reference'!$A$7:$P$906,3,0)),"")</f>
        <v/>
      </c>
      <c r="J57" s="203" t="str">
        <f aca="false">IF(ISNUMBER(H57),IF(ISERROR(VLOOKUP($A57,'[1]liste reference'!$A$7:$P$906,4,0)),IF(ISERROR(VLOOKUP($A57,'[1]liste reference'!$B$7:$P$906,3,0)),"",VLOOKUP($A57,'[1]liste reference'!$B$7:$P$906,3,0)),VLOOKUP($A57,'[1]liste reference'!$A$7:$P$906,4,0)),"")</f>
        <v/>
      </c>
      <c r="K57" s="221" t="str">
        <f aca="false">IF(A57="NEW.COD",AA57,IF(ISTEXT($E57),"DEJA SAISI !",IF(A57="","",IF(ISERROR(VLOOKUP($A57,'[1]liste reference'!$A$7:$D$906,2,0)),IF(ISERROR(VLOOKUP($A57,'[1]liste reference'!$B$7:$D$906,1,0)),"code non répertorié ou synonyme",VLOOKUP($A57,'[1]liste reference'!$B$7:$D$906,1,0)),VLOOKUP(A57,'[1]liste reference'!$A$7:$D$906,2,0)))))</f>
        <v/>
      </c>
      <c r="L57" s="222"/>
      <c r="M57" s="222"/>
      <c r="N57" s="222"/>
      <c r="O57" s="206"/>
      <c r="P57" s="207" t="str">
        <f aca="false">IF(ISTEXT(H57),"",(B57*$B$7/100)+(C57*$C$7/100))</f>
        <v/>
      </c>
      <c r="Q57" s="208" t="str">
        <f aca="false">IF(OR(ISTEXT(H57),P57=0),"",IF(P57&lt;0.1,1,IF(P57&lt;1,2,IF(P57&lt;10,3,IF(P57&lt;50,4,IF(P57&gt;=50,5,""))))))</f>
        <v/>
      </c>
      <c r="R57" s="208" t="n">
        <f aca="false">IF(ISERROR(Q57*I57),0,Q57*I57)</f>
        <v>0</v>
      </c>
      <c r="S57" s="208" t="n">
        <f aca="false">IF(ISERROR(Q57*I57*J57),0,Q57*I57*J57)</f>
        <v>0</v>
      </c>
      <c r="T57" s="223" t="n">
        <f aca="false">IF(ISERROR(Q57*J57),0,Q57*J57)</f>
        <v>0</v>
      </c>
      <c r="U57" s="209" t="str">
        <f aca="false">IF(AND(A57="",F57=0),"",IF(F57=0,"Il manque le(s) % de rec. !",""))</f>
        <v/>
      </c>
      <c r="V57" s="210"/>
      <c r="X57" s="211" t="str">
        <f aca="false">IF(A57="new.cod","NEW.COD",IF(AND((Y57=""),ISTEXT(A57)),A57,IF(Y57="","",INDEX('[1]liste reference'!$A$7:$A$906,Y57))))</f>
        <v/>
      </c>
      <c r="Y57" s="9" t="str">
        <f aca="false">IF(ISERROR(MATCH(A57,'[1]liste reference'!$A$7:$A$906,0)),IF(ISERROR(MATCH(A57,'[1]liste reference'!$B$7:$B$906,0)),"",(MATCH(A57,'[1]liste reference'!$B$7:$B$906,0))),(MATCH(A57,'[1]liste reference'!$A$7:$A$906,0)))</f>
        <v/>
      </c>
      <c r="Z57" s="212"/>
      <c r="AA57" s="213"/>
      <c r="BB57" s="9" t="str">
        <f aca="false">IF(A57="","",1)</f>
        <v/>
      </c>
    </row>
    <row r="58" customFormat="false" ht="12.75" hidden="false" customHeight="false" outlineLevel="0" collapsed="false">
      <c r="A58" s="214"/>
      <c r="B58" s="215"/>
      <c r="C58" s="216"/>
      <c r="D58" s="217" t="str">
        <f aca="false">IF(ISERROR(VLOOKUP($A58,'[1]liste reference'!$A$7:$D$906,2,0)),IF(ISERROR(VLOOKUP($A58,'[1]liste reference'!$B$7:$D$906,1,0)),"",VLOOKUP($A58,'[1]liste reference'!$B$7:$D$906,1,0)),VLOOKUP($A58,'[1]liste reference'!$A$7:$D$906,2,0))</f>
        <v/>
      </c>
      <c r="E58" s="217" t="n">
        <f aca="false">IF(D58="",0,VLOOKUP(D58,D$22:D57,1,0))</f>
        <v>0</v>
      </c>
      <c r="F58" s="227" t="n">
        <f aca="false">($B58*$B$7+$C58*$C$7)/100</f>
        <v>0</v>
      </c>
      <c r="G58" s="219" t="str">
        <f aca="false">IF(A58="","",IF(ISERROR(VLOOKUP($A58,'[1]liste reference'!$A$7:$P$906,13,0)),IF(ISERROR(VLOOKUP($A58,'[1]liste reference'!$B$7:$P$906,12,0)),"    -",VLOOKUP($A58,'[1]liste reference'!$B$7:$P$906,12,0)),VLOOKUP($A58,'[1]liste reference'!$A$7:$P$906,13,0)))</f>
        <v/>
      </c>
      <c r="H58" s="201" t="str">
        <f aca="false">IF(A58="","x",IF(ISERROR(VLOOKUP($A58,'[1]liste reference'!$A$7:$P$906,14,0)),IF(ISERROR(VLOOKUP($A58,'[1]liste reference'!$B$7:$P$906,13,0)),"x",VLOOKUP($A58,'[1]liste reference'!$B$7:$P$906,13,0)),VLOOKUP($A58,'[1]liste reference'!$A$7:$P$906,14,0)))</f>
        <v>x</v>
      </c>
      <c r="I58" s="220" t="str">
        <f aca="false">IF(ISNUMBER(H58),IF(ISERROR(VLOOKUP($A58,'[1]liste reference'!$A$7:$P$906,3,0)),IF(ISERROR(VLOOKUP($A58,'[1]liste reference'!$B$7:$P$906,2,0)),"",VLOOKUP($A58,'[1]liste reference'!$B$7:$P$906,2,0)),VLOOKUP($A58,'[1]liste reference'!$A$7:$P$906,3,0)),"")</f>
        <v/>
      </c>
      <c r="J58" s="203" t="str">
        <f aca="false">IF(ISNUMBER(H58),IF(ISERROR(VLOOKUP($A58,'[1]liste reference'!$A$7:$P$906,4,0)),IF(ISERROR(VLOOKUP($A58,'[1]liste reference'!$B$7:$P$906,3,0)),"",VLOOKUP($A58,'[1]liste reference'!$B$7:$P$906,3,0)),VLOOKUP($A58,'[1]liste reference'!$A$7:$P$906,4,0)),"")</f>
        <v/>
      </c>
      <c r="K58" s="221" t="str">
        <f aca="false">IF(A58="NEW.COD",AA58,IF(ISTEXT($E58),"DEJA SAISI !",IF(A58="","",IF(ISERROR(VLOOKUP($A58,'[1]liste reference'!$A$7:$D$906,2,0)),IF(ISERROR(VLOOKUP($A58,'[1]liste reference'!$B$7:$D$906,1,0)),"code non répertorié ou synonyme",VLOOKUP($A58,'[1]liste reference'!$B$7:$D$906,1,0)),VLOOKUP(A58,'[1]liste reference'!$A$7:$D$906,2,0)))))</f>
        <v/>
      </c>
      <c r="L58" s="222"/>
      <c r="M58" s="222"/>
      <c r="N58" s="222"/>
      <c r="O58" s="206"/>
      <c r="P58" s="207" t="str">
        <f aca="false">IF(ISTEXT(H58),"",(B58*$B$7/100)+(C58*$C$7/100))</f>
        <v/>
      </c>
      <c r="Q58" s="208" t="str">
        <f aca="false">IF(OR(ISTEXT(H58),P58=0),"",IF(P58&lt;0.1,1,IF(P58&lt;1,2,IF(P58&lt;10,3,IF(P58&lt;50,4,IF(P58&gt;=50,5,""))))))</f>
        <v/>
      </c>
      <c r="R58" s="208" t="n">
        <f aca="false">IF(ISERROR(Q58*I58),0,Q58*I58)</f>
        <v>0</v>
      </c>
      <c r="S58" s="208" t="n">
        <f aca="false">IF(ISERROR(Q58*I58*J58),0,Q58*I58*J58)</f>
        <v>0</v>
      </c>
      <c r="T58" s="223" t="n">
        <f aca="false">IF(ISERROR(Q58*J58),0,Q58*J58)</f>
        <v>0</v>
      </c>
      <c r="U58" s="209" t="str">
        <f aca="false">IF(AND(A58="",F58=0),"",IF(F58=0,"Il manque le(s) % de rec. !",""))</f>
        <v/>
      </c>
      <c r="V58" s="210"/>
      <c r="X58" s="211" t="str">
        <f aca="false">IF(A58="new.cod","NEW.COD",IF(AND((Y58=""),ISTEXT(A58)),A58,IF(Y58="","",INDEX('[1]liste reference'!$A$7:$A$906,Y58))))</f>
        <v/>
      </c>
      <c r="Y58" s="9" t="str">
        <f aca="false">IF(ISERROR(MATCH(A58,'[1]liste reference'!$A$7:$A$906,0)),IF(ISERROR(MATCH(A58,'[1]liste reference'!$B$7:$B$906,0)),"",(MATCH(A58,'[1]liste reference'!$B$7:$B$906,0))),(MATCH(A58,'[1]liste reference'!$A$7:$A$906,0)))</f>
        <v/>
      </c>
      <c r="Z58" s="212"/>
      <c r="AA58" s="213"/>
      <c r="BB58" s="9" t="str">
        <f aca="false">IF(A58="","",1)</f>
        <v/>
      </c>
    </row>
    <row r="59" customFormat="false" ht="12.75" hidden="false" customHeight="false" outlineLevel="0" collapsed="false">
      <c r="A59" s="214"/>
      <c r="B59" s="215"/>
      <c r="C59" s="216"/>
      <c r="D59" s="217" t="str">
        <f aca="false">IF(ISERROR(VLOOKUP($A59,'[1]liste reference'!$A$7:$D$906,2,0)),IF(ISERROR(VLOOKUP($A59,'[1]liste reference'!$B$7:$D$906,1,0)),"",VLOOKUP($A59,'[1]liste reference'!$B$7:$D$906,1,0)),VLOOKUP($A59,'[1]liste reference'!$A$7:$D$906,2,0))</f>
        <v/>
      </c>
      <c r="E59" s="217" t="n">
        <f aca="false">IF(D59="",0,VLOOKUP(D59,D$22:D52,1,0))</f>
        <v>0</v>
      </c>
      <c r="F59" s="227" t="n">
        <f aca="false">($B59*$B$7+$C59*$C$7)/100</f>
        <v>0</v>
      </c>
      <c r="G59" s="219" t="str">
        <f aca="false">IF(A59="","",IF(ISERROR(VLOOKUP($A59,'[1]liste reference'!$A$7:$P$906,13,0)),IF(ISERROR(VLOOKUP($A59,'[1]liste reference'!$B$7:$P$906,12,0)),"    -",VLOOKUP($A59,'[1]liste reference'!$B$7:$P$906,12,0)),VLOOKUP($A59,'[1]liste reference'!$A$7:$P$906,13,0)))</f>
        <v/>
      </c>
      <c r="H59" s="201" t="str">
        <f aca="false">IF(A59="","x",IF(ISERROR(VLOOKUP($A59,'[1]liste reference'!$A$7:$P$906,14,0)),IF(ISERROR(VLOOKUP($A59,'[1]liste reference'!$B$7:$P$906,13,0)),"x",VLOOKUP($A59,'[1]liste reference'!$B$7:$P$906,13,0)),VLOOKUP($A59,'[1]liste reference'!$A$7:$P$906,14,0)))</f>
        <v>x</v>
      </c>
      <c r="I59" s="220" t="str">
        <f aca="false">IF(ISNUMBER(H59),IF(ISERROR(VLOOKUP($A59,'[1]liste reference'!$A$7:$P$906,3,0)),IF(ISERROR(VLOOKUP($A59,'[1]liste reference'!$B$7:$P$906,2,0)),"",VLOOKUP($A59,'[1]liste reference'!$B$7:$P$906,2,0)),VLOOKUP($A59,'[1]liste reference'!$A$7:$P$906,3,0)),"")</f>
        <v/>
      </c>
      <c r="J59" s="203" t="str">
        <f aca="false">IF(ISNUMBER(H59),IF(ISERROR(VLOOKUP($A59,'[1]liste reference'!$A$7:$P$906,4,0)),IF(ISERROR(VLOOKUP($A59,'[1]liste reference'!$B$7:$P$906,3,0)),"",VLOOKUP($A59,'[1]liste reference'!$B$7:$P$906,3,0)),VLOOKUP($A59,'[1]liste reference'!$A$7:$P$906,4,0)),"")</f>
        <v/>
      </c>
      <c r="K59" s="221" t="str">
        <f aca="false">IF(A59="NEW.COD",AA59,IF(ISTEXT($E59),"DEJA SAISI !",IF(A59="","",IF(ISERROR(VLOOKUP($A59,'[1]liste reference'!$A$7:$D$906,2,0)),IF(ISERROR(VLOOKUP($A59,'[1]liste reference'!$B$7:$D$906,1,0)),"code non répertorié ou synonyme",VLOOKUP($A59,'[1]liste reference'!$B$7:$D$906,1,0)),VLOOKUP(A59,'[1]liste reference'!$A$7:$D$906,2,0)))))</f>
        <v/>
      </c>
      <c r="L59" s="222"/>
      <c r="M59" s="222"/>
      <c r="N59" s="222"/>
      <c r="O59" s="206"/>
      <c r="P59" s="207" t="str">
        <f aca="false">IF(ISTEXT(H59),"",(B59*$B$7/100)+(C59*$C$7/100))</f>
        <v/>
      </c>
      <c r="Q59" s="208" t="str">
        <f aca="false">IF(OR(ISTEXT(H59),P59=0),"",IF(P59&lt;0.1,1,IF(P59&lt;1,2,IF(P59&lt;10,3,IF(P59&lt;50,4,IF(P59&gt;=50,5,""))))))</f>
        <v/>
      </c>
      <c r="R59" s="208" t="n">
        <f aca="false">IF(ISERROR(Q59*I59),0,Q59*I59)</f>
        <v>0</v>
      </c>
      <c r="S59" s="208" t="n">
        <f aca="false">IF(ISERROR(Q59*I59*J59),0,Q59*I59*J59)</f>
        <v>0</v>
      </c>
      <c r="T59" s="223" t="n">
        <f aca="false">IF(ISERROR(Q59*J59),0,Q59*J59)</f>
        <v>0</v>
      </c>
      <c r="U59" s="209" t="str">
        <f aca="false">IF(AND(A59="",F59=0),"",IF(F59=0,"Il manque le(s) % de rec. !",""))</f>
        <v/>
      </c>
      <c r="V59" s="210"/>
      <c r="X59" s="211" t="str">
        <f aca="false">IF(A59="new.cod","NEW.COD",IF(AND((Y59=""),ISTEXT(A59)),A59,IF(Y59="","",INDEX('[1]liste reference'!$A$7:$A$906,Y59))))</f>
        <v/>
      </c>
      <c r="Y59" s="9" t="str">
        <f aca="false">IF(ISERROR(MATCH(A59,'[1]liste reference'!$A$7:$A$906,0)),IF(ISERROR(MATCH(A59,'[1]liste reference'!$B$7:$B$906,0)),"",(MATCH(A59,'[1]liste reference'!$B$7:$B$906,0))),(MATCH(A59,'[1]liste reference'!$A$7:$A$906,0)))</f>
        <v/>
      </c>
      <c r="Z59" s="212"/>
      <c r="AA59" s="213"/>
      <c r="BB59" s="9" t="str">
        <f aca="false">IF(A59="","",1)</f>
        <v/>
      </c>
    </row>
    <row r="60" customFormat="false" ht="12.75" hidden="false" customHeight="false" outlineLevel="0" collapsed="false">
      <c r="A60" s="214"/>
      <c r="B60" s="215"/>
      <c r="C60" s="216"/>
      <c r="D60" s="217" t="str">
        <f aca="false">IF(ISERROR(VLOOKUP($A60,'[1]liste reference'!$A$7:$D$906,2,0)),IF(ISERROR(VLOOKUP($A60,'[1]liste reference'!$B$7:$D$906,1,0)),"",VLOOKUP($A60,'[1]liste reference'!$B$7:$D$906,1,0)),VLOOKUP($A60,'[1]liste reference'!$A$7:$D$906,2,0))</f>
        <v/>
      </c>
      <c r="E60" s="217" t="n">
        <f aca="false">IF(D60="",0,VLOOKUP(D60,D$22:D52,1,0))</f>
        <v>0</v>
      </c>
      <c r="F60" s="227" t="n">
        <f aca="false">($B60*$B$7+$C60*$C$7)/100</f>
        <v>0</v>
      </c>
      <c r="G60" s="219" t="str">
        <f aca="false">IF(A60="","",IF(ISERROR(VLOOKUP($A60,'[1]liste reference'!$A$7:$P$906,13,0)),IF(ISERROR(VLOOKUP($A60,'[1]liste reference'!$B$7:$P$906,12,0)),"    -",VLOOKUP($A60,'[1]liste reference'!$B$7:$P$906,12,0)),VLOOKUP($A60,'[1]liste reference'!$A$7:$P$906,13,0)))</f>
        <v/>
      </c>
      <c r="H60" s="201" t="str">
        <f aca="false">IF(A60="","x",IF(ISERROR(VLOOKUP($A60,'[1]liste reference'!$A$7:$P$906,14,0)),IF(ISERROR(VLOOKUP($A60,'[1]liste reference'!$B$7:$P$906,13,0)),"x",VLOOKUP($A60,'[1]liste reference'!$B$7:$P$906,13,0)),VLOOKUP($A60,'[1]liste reference'!$A$7:$P$906,14,0)))</f>
        <v>x</v>
      </c>
      <c r="I60" s="220" t="str">
        <f aca="false">IF(ISNUMBER(H60),IF(ISERROR(VLOOKUP($A60,'[1]liste reference'!$A$7:$P$906,3,0)),IF(ISERROR(VLOOKUP($A60,'[1]liste reference'!$B$7:$P$906,2,0)),"",VLOOKUP($A60,'[1]liste reference'!$B$7:$P$906,2,0)),VLOOKUP($A60,'[1]liste reference'!$A$7:$P$906,3,0)),"")</f>
        <v/>
      </c>
      <c r="J60" s="203" t="str">
        <f aca="false">IF(ISNUMBER(H60),IF(ISERROR(VLOOKUP($A60,'[1]liste reference'!$A$7:$P$906,4,0)),IF(ISERROR(VLOOKUP($A60,'[1]liste reference'!$B$7:$P$906,3,0)),"",VLOOKUP($A60,'[1]liste reference'!$B$7:$P$906,3,0)),VLOOKUP($A60,'[1]liste reference'!$A$7:$P$906,4,0)),"")</f>
        <v/>
      </c>
      <c r="K60" s="221" t="str">
        <f aca="false">IF(A60="NEW.COD",AA60,IF(ISTEXT($E60),"DEJA SAISI !",IF(A60="","",IF(ISERROR(VLOOKUP($A60,'[1]liste reference'!$A$7:$D$906,2,0)),IF(ISERROR(VLOOKUP($A60,'[1]liste reference'!$B$7:$D$906,1,0)),"code non répertorié ou synonyme",VLOOKUP($A60,'[1]liste reference'!$B$7:$D$906,1,0)),VLOOKUP(A60,'[1]liste reference'!$A$7:$D$906,2,0)))))</f>
        <v/>
      </c>
      <c r="L60" s="222"/>
      <c r="M60" s="222"/>
      <c r="N60" s="222"/>
      <c r="O60" s="206"/>
      <c r="P60" s="207" t="str">
        <f aca="false">IF(ISTEXT(H60),"",(B60*$B$7/100)+(C60*$C$7/100))</f>
        <v/>
      </c>
      <c r="Q60" s="208" t="str">
        <f aca="false">IF(OR(ISTEXT(H60),P60=0),"",IF(P60&lt;0.1,1,IF(P60&lt;1,2,IF(P60&lt;10,3,IF(P60&lt;50,4,IF(P60&gt;=50,5,""))))))</f>
        <v/>
      </c>
      <c r="R60" s="208" t="n">
        <f aca="false">IF(ISERROR(Q60*I60),0,Q60*I60)</f>
        <v>0</v>
      </c>
      <c r="S60" s="208" t="n">
        <f aca="false">IF(ISERROR(Q60*I60*J60),0,Q60*I60*J60)</f>
        <v>0</v>
      </c>
      <c r="T60" s="223" t="n">
        <f aca="false">IF(ISERROR(Q60*J60),0,Q60*J60)</f>
        <v>0</v>
      </c>
      <c r="U60" s="209" t="str">
        <f aca="false">IF(AND(A60="",F60=0),"",IF(F60=0,"Il manque le(s) % de rec. !",""))</f>
        <v/>
      </c>
      <c r="V60" s="210"/>
      <c r="X60" s="211" t="str">
        <f aca="false">IF(A60="new.cod","NEW.COD",IF(AND((Y60=""),ISTEXT(A60)),A60,IF(Y60="","",INDEX('[1]liste reference'!$A$7:$A$906,Y60))))</f>
        <v/>
      </c>
      <c r="Y60" s="9" t="str">
        <f aca="false">IF(ISERROR(MATCH(A60,'[1]liste reference'!$A$7:$A$906,0)),IF(ISERROR(MATCH(A60,'[1]liste reference'!$B$7:$B$906,0)),"",(MATCH(A60,'[1]liste reference'!$B$7:$B$906,0))),(MATCH(A60,'[1]liste reference'!$A$7:$A$906,0)))</f>
        <v/>
      </c>
      <c r="Z60" s="212"/>
      <c r="AA60" s="213"/>
      <c r="BB60" s="9" t="str">
        <f aca="false">IF(A60="","",1)</f>
        <v/>
      </c>
    </row>
    <row r="61" customFormat="false" ht="12.75" hidden="false" customHeight="false" outlineLevel="0" collapsed="false">
      <c r="A61" s="214"/>
      <c r="B61" s="215"/>
      <c r="C61" s="216"/>
      <c r="D61" s="217" t="str">
        <f aca="false">IF(ISERROR(VLOOKUP($A61,'[1]liste reference'!$A$7:$D$906,2,0)),IF(ISERROR(VLOOKUP($A61,'[1]liste reference'!$B$7:$D$906,1,0)),"",VLOOKUP($A61,'[1]liste reference'!$B$7:$D$906,1,0)),VLOOKUP($A61,'[1]liste reference'!$A$7:$D$906,2,0))</f>
        <v/>
      </c>
      <c r="E61" s="217" t="n">
        <f aca="false">IF(D61="",0,VLOOKUP(D61,D$22:D53,1,0))</f>
        <v>0</v>
      </c>
      <c r="F61" s="227" t="n">
        <f aca="false">($B61*$B$7+$C61*$C$7)/100</f>
        <v>0</v>
      </c>
      <c r="G61" s="219" t="str">
        <f aca="false">IF(A61="","",IF(ISERROR(VLOOKUP($A61,'[1]liste reference'!$A$7:$P$906,13,0)),IF(ISERROR(VLOOKUP($A61,'[1]liste reference'!$B$7:$P$906,12,0)),"    -",VLOOKUP($A61,'[1]liste reference'!$B$7:$P$906,12,0)),VLOOKUP($A61,'[1]liste reference'!$A$7:$P$906,13,0)))</f>
        <v/>
      </c>
      <c r="H61" s="201" t="str">
        <f aca="false">IF(A61="","x",IF(ISERROR(VLOOKUP($A61,'[1]liste reference'!$A$7:$P$906,14,0)),IF(ISERROR(VLOOKUP($A61,'[1]liste reference'!$B$7:$P$906,13,0)),"x",VLOOKUP($A61,'[1]liste reference'!$B$7:$P$906,13,0)),VLOOKUP($A61,'[1]liste reference'!$A$7:$P$906,14,0)))</f>
        <v>x</v>
      </c>
      <c r="I61" s="220" t="str">
        <f aca="false">IF(ISNUMBER(H61),IF(ISERROR(VLOOKUP($A61,'[1]liste reference'!$A$7:$P$906,3,0)),IF(ISERROR(VLOOKUP($A61,'[1]liste reference'!$B$7:$P$906,2,0)),"",VLOOKUP($A61,'[1]liste reference'!$B$7:$P$906,2,0)),VLOOKUP($A61,'[1]liste reference'!$A$7:$P$906,3,0)),"")</f>
        <v/>
      </c>
      <c r="J61" s="203" t="str">
        <f aca="false">IF(ISNUMBER(H61),IF(ISERROR(VLOOKUP($A61,'[1]liste reference'!$A$7:$P$906,4,0)),IF(ISERROR(VLOOKUP($A61,'[1]liste reference'!$B$7:$P$906,3,0)),"",VLOOKUP($A61,'[1]liste reference'!$B$7:$P$906,3,0)),VLOOKUP($A61,'[1]liste reference'!$A$7:$P$906,4,0)),"")</f>
        <v/>
      </c>
      <c r="K61" s="221" t="str">
        <f aca="false">IF(A61="NEW.COD",AA61,IF(ISTEXT($E61),"DEJA SAISI !",IF(A61="","",IF(ISERROR(VLOOKUP($A61,'[1]liste reference'!$A$7:$D$906,2,0)),IF(ISERROR(VLOOKUP($A61,'[1]liste reference'!$B$7:$D$906,1,0)),"code non répertorié ou synonyme",VLOOKUP($A61,'[1]liste reference'!$B$7:$D$906,1,0)),VLOOKUP(A61,'[1]liste reference'!$A$7:$D$906,2,0)))))</f>
        <v/>
      </c>
      <c r="L61" s="222"/>
      <c r="M61" s="222"/>
      <c r="N61" s="222"/>
      <c r="O61" s="206"/>
      <c r="P61" s="207" t="str">
        <f aca="false">IF(ISTEXT(H61),"",(B61*$B$7/100)+(C61*$C$7/100))</f>
        <v/>
      </c>
      <c r="Q61" s="208" t="str">
        <f aca="false">IF(OR(ISTEXT(H61),P61=0),"",IF(P61&lt;0.1,1,IF(P61&lt;1,2,IF(P61&lt;10,3,IF(P61&lt;50,4,IF(P61&gt;=50,5,""))))))</f>
        <v/>
      </c>
      <c r="R61" s="208" t="n">
        <f aca="false">IF(ISERROR(Q61*I61),0,Q61*I61)</f>
        <v>0</v>
      </c>
      <c r="S61" s="208" t="n">
        <f aca="false">IF(ISERROR(Q61*I61*J61),0,Q61*I61*J61)</f>
        <v>0</v>
      </c>
      <c r="T61" s="223" t="n">
        <f aca="false">IF(ISERROR(Q61*J61),0,Q61*J61)</f>
        <v>0</v>
      </c>
      <c r="U61" s="209" t="str">
        <f aca="false">IF(AND(A61="",F61=0),"",IF(F61=0,"Il manque le(s) % de rec. !",""))</f>
        <v/>
      </c>
      <c r="V61" s="210"/>
      <c r="X61" s="211" t="str">
        <f aca="false">IF(A61="new.cod","NEW.COD",IF(AND((Y61=""),ISTEXT(A61)),A61,IF(Y61="","",INDEX('[1]liste reference'!$A$7:$A$906,Y61))))</f>
        <v/>
      </c>
      <c r="Y61" s="9" t="str">
        <f aca="false">IF(ISERROR(MATCH(A61,'[1]liste reference'!$A$7:$A$906,0)),IF(ISERROR(MATCH(A61,'[1]liste reference'!$B$7:$B$906,0)),"",(MATCH(A61,'[1]liste reference'!$B$7:$B$906,0))),(MATCH(A61,'[1]liste reference'!$A$7:$A$906,0)))</f>
        <v/>
      </c>
      <c r="Z61" s="212"/>
      <c r="AA61" s="213"/>
      <c r="BB61" s="9" t="str">
        <f aca="false">IF(A61="","",1)</f>
        <v/>
      </c>
    </row>
    <row r="62" customFormat="false" ht="12.75" hidden="false" customHeight="false" outlineLevel="0" collapsed="false">
      <c r="A62" s="214"/>
      <c r="B62" s="215"/>
      <c r="C62" s="216"/>
      <c r="D62" s="217" t="str">
        <f aca="false">IF(ISERROR(VLOOKUP($A62,'[1]liste reference'!$A$7:$D$906,2,0)),IF(ISERROR(VLOOKUP($A62,'[1]liste reference'!$B$7:$D$906,1,0)),"",VLOOKUP($A62,'[1]liste reference'!$B$7:$D$906,1,0)),VLOOKUP($A62,'[1]liste reference'!$A$7:$D$906,2,0))</f>
        <v/>
      </c>
      <c r="E62" s="217" t="n">
        <f aca="false">IF(D62="",0,VLOOKUP(D62,D$22:D50,1,0))</f>
        <v>0</v>
      </c>
      <c r="F62" s="227" t="n">
        <f aca="false">($B62*$B$7+$C62*$C$7)/100</f>
        <v>0</v>
      </c>
      <c r="G62" s="219" t="str">
        <f aca="false">IF(A62="","",IF(ISERROR(VLOOKUP($A62,'[1]liste reference'!$A$7:$P$906,13,0)),IF(ISERROR(VLOOKUP($A62,'[1]liste reference'!$B$7:$P$906,12,0)),"    -",VLOOKUP($A62,'[1]liste reference'!$B$7:$P$906,12,0)),VLOOKUP($A62,'[1]liste reference'!$A$7:$P$906,13,0)))</f>
        <v/>
      </c>
      <c r="H62" s="201" t="str">
        <f aca="false">IF(A62="","x",IF(ISERROR(VLOOKUP($A62,'[1]liste reference'!$A$7:$P$906,14,0)),IF(ISERROR(VLOOKUP($A62,'[1]liste reference'!$B$7:$P$906,13,0)),"x",VLOOKUP($A62,'[1]liste reference'!$B$7:$P$906,13,0)),VLOOKUP($A62,'[1]liste reference'!$A$7:$P$906,14,0)))</f>
        <v>x</v>
      </c>
      <c r="I62" s="220" t="str">
        <f aca="false">IF(ISNUMBER(H62),IF(ISERROR(VLOOKUP($A62,'[1]liste reference'!$A$7:$P$906,3,0)),IF(ISERROR(VLOOKUP($A62,'[1]liste reference'!$B$7:$P$906,2,0)),"",VLOOKUP($A62,'[1]liste reference'!$B$7:$P$906,2,0)),VLOOKUP($A62,'[1]liste reference'!$A$7:$P$906,3,0)),"")</f>
        <v/>
      </c>
      <c r="J62" s="203" t="str">
        <f aca="false">IF(ISNUMBER(H62),IF(ISERROR(VLOOKUP($A62,'[1]liste reference'!$A$7:$P$906,4,0)),IF(ISERROR(VLOOKUP($A62,'[1]liste reference'!$B$7:$P$906,3,0)),"",VLOOKUP($A62,'[1]liste reference'!$B$7:$P$906,3,0)),VLOOKUP($A62,'[1]liste reference'!$A$7:$P$906,4,0)),"")</f>
        <v/>
      </c>
      <c r="K62" s="221" t="str">
        <f aca="false">IF(A62="NEW.COD",AA62,IF(ISTEXT($E62),"DEJA SAISI !",IF(A62="","",IF(ISERROR(VLOOKUP($A62,'[1]liste reference'!$A$7:$D$906,2,0)),IF(ISERROR(VLOOKUP($A62,'[1]liste reference'!$B$7:$D$906,1,0)),"code non répertorié ou synonyme",VLOOKUP($A62,'[1]liste reference'!$B$7:$D$906,1,0)),VLOOKUP(A62,'[1]liste reference'!$A$7:$D$906,2,0)))))</f>
        <v/>
      </c>
      <c r="L62" s="222"/>
      <c r="M62" s="222"/>
      <c r="N62" s="222"/>
      <c r="O62" s="206"/>
      <c r="P62" s="207" t="str">
        <f aca="false">IF(ISTEXT(H62),"",(B62*$B$7/100)+(C62*$C$7/100))</f>
        <v/>
      </c>
      <c r="Q62" s="208" t="str">
        <f aca="false">IF(OR(ISTEXT(H62),P62=0),"",IF(P62&lt;0.1,1,IF(P62&lt;1,2,IF(P62&lt;10,3,IF(P62&lt;50,4,IF(P62&gt;=50,5,""))))))</f>
        <v/>
      </c>
      <c r="R62" s="208" t="n">
        <f aca="false">IF(ISERROR(Q62*I62),0,Q62*I62)</f>
        <v>0</v>
      </c>
      <c r="S62" s="208" t="n">
        <f aca="false">IF(ISERROR(Q62*I62*J62),0,Q62*I62*J62)</f>
        <v>0</v>
      </c>
      <c r="T62" s="223" t="n">
        <f aca="false">IF(ISERROR(Q62*J62),0,Q62*J62)</f>
        <v>0</v>
      </c>
      <c r="U62" s="209" t="str">
        <f aca="false">IF(AND(A62="",F62=0),"",IF(F62=0,"Il manque le(s) % de rec. !",""))</f>
        <v/>
      </c>
      <c r="V62" s="210"/>
      <c r="X62" s="211" t="str">
        <f aca="false">IF(A62="new.cod","NEW.COD",IF(AND((Y62=""),ISTEXT(A62)),A62,IF(Y62="","",INDEX('[1]liste reference'!$A$7:$A$906,Y62))))</f>
        <v/>
      </c>
      <c r="Y62" s="9" t="str">
        <f aca="false">IF(ISERROR(MATCH(A62,'[1]liste reference'!$A$7:$A$906,0)),IF(ISERROR(MATCH(A62,'[1]liste reference'!$B$7:$B$906,0)),"",(MATCH(A62,'[1]liste reference'!$B$7:$B$906,0))),(MATCH(A62,'[1]liste reference'!$A$7:$A$906,0)))</f>
        <v/>
      </c>
      <c r="Z62" s="212"/>
      <c r="AA62" s="213"/>
      <c r="BB62" s="9" t="str">
        <f aca="false">IF(A62="","",1)</f>
        <v/>
      </c>
    </row>
    <row r="63" customFormat="false" ht="12.75" hidden="false" customHeight="false" outlineLevel="0" collapsed="false">
      <c r="A63" s="214"/>
      <c r="B63" s="215"/>
      <c r="C63" s="216"/>
      <c r="D63" s="217" t="str">
        <f aca="false">IF(ISERROR(VLOOKUP($A63,'[1]liste reference'!$A$7:$D$906,2,0)),IF(ISERROR(VLOOKUP($A63,'[1]liste reference'!$B$7:$D$906,1,0)),"",VLOOKUP($A63,'[1]liste reference'!$B$7:$D$906,1,0)),VLOOKUP($A63,'[1]liste reference'!$A$7:$D$906,2,0))</f>
        <v/>
      </c>
      <c r="E63" s="217" t="n">
        <f aca="false">IF(D63="",0,VLOOKUP(D63,D$22:D51,1,0))</f>
        <v>0</v>
      </c>
      <c r="F63" s="227" t="n">
        <f aca="false">($B63*$B$7+$C63*$C$7)/100</f>
        <v>0</v>
      </c>
      <c r="G63" s="219" t="str">
        <f aca="false">IF(A63="","",IF(ISERROR(VLOOKUP($A63,'[1]liste reference'!$A$7:$P$906,13,0)),IF(ISERROR(VLOOKUP($A63,'[1]liste reference'!$B$7:$P$906,12,0)),"    -",VLOOKUP($A63,'[1]liste reference'!$B$7:$P$906,12,0)),VLOOKUP($A63,'[1]liste reference'!$A$7:$P$906,13,0)))</f>
        <v/>
      </c>
      <c r="H63" s="201" t="str">
        <f aca="false">IF(A63="","x",IF(ISERROR(VLOOKUP($A63,'[1]liste reference'!$A$7:$P$906,14,0)),IF(ISERROR(VLOOKUP($A63,'[1]liste reference'!$B$7:$P$906,13,0)),"x",VLOOKUP($A63,'[1]liste reference'!$B$7:$P$906,13,0)),VLOOKUP($A63,'[1]liste reference'!$A$7:$P$906,14,0)))</f>
        <v>x</v>
      </c>
      <c r="I63" s="220" t="str">
        <f aca="false">IF(ISNUMBER(H63),IF(ISERROR(VLOOKUP($A63,'[1]liste reference'!$A$7:$P$906,3,0)),IF(ISERROR(VLOOKUP($A63,'[1]liste reference'!$B$7:$P$906,2,0)),"",VLOOKUP($A63,'[1]liste reference'!$B$7:$P$906,2,0)),VLOOKUP($A63,'[1]liste reference'!$A$7:$P$906,3,0)),"")</f>
        <v/>
      </c>
      <c r="J63" s="203" t="str">
        <f aca="false">IF(ISNUMBER(H63),IF(ISERROR(VLOOKUP($A63,'[1]liste reference'!$A$7:$P$906,4,0)),IF(ISERROR(VLOOKUP($A63,'[1]liste reference'!$B$7:$P$906,3,0)),"",VLOOKUP($A63,'[1]liste reference'!$B$7:$P$906,3,0)),VLOOKUP($A63,'[1]liste reference'!$A$7:$P$906,4,0)),"")</f>
        <v/>
      </c>
      <c r="K63" s="221" t="str">
        <f aca="false">IF(A63="NEW.COD",AA63,IF(ISTEXT($E63),"DEJA SAISI !",IF(A63="","",IF(ISERROR(VLOOKUP($A63,'[1]liste reference'!$A$7:$D$906,2,0)),IF(ISERROR(VLOOKUP($A63,'[1]liste reference'!$B$7:$D$906,1,0)),"code non répertorié ou synonyme",VLOOKUP($A63,'[1]liste reference'!$B$7:$D$906,1,0)),VLOOKUP(A63,'[1]liste reference'!$A$7:$D$906,2,0)))))</f>
        <v/>
      </c>
      <c r="L63" s="222"/>
      <c r="M63" s="222"/>
      <c r="N63" s="222"/>
      <c r="O63" s="206"/>
      <c r="P63" s="207" t="str">
        <f aca="false">IF(ISTEXT(H63),"",(B63*$B$7/100)+(C63*$C$7/100))</f>
        <v/>
      </c>
      <c r="Q63" s="208" t="str">
        <f aca="false">IF(OR(ISTEXT(H63),P63=0),"",IF(P63&lt;0.1,1,IF(P63&lt;1,2,IF(P63&lt;10,3,IF(P63&lt;50,4,IF(P63&gt;=50,5,""))))))</f>
        <v/>
      </c>
      <c r="R63" s="208" t="n">
        <f aca="false">IF(ISERROR(Q63*I63),0,Q63*I63)</f>
        <v>0</v>
      </c>
      <c r="S63" s="208" t="n">
        <f aca="false">IF(ISERROR(Q63*I63*J63),0,Q63*I63*J63)</f>
        <v>0</v>
      </c>
      <c r="T63" s="223" t="n">
        <f aca="false">IF(ISERROR(Q63*J63),0,Q63*J63)</f>
        <v>0</v>
      </c>
      <c r="U63" s="209" t="str">
        <f aca="false">IF(AND(A63="",F63=0),"",IF(F63=0,"Il manque le(s) % de rec. !",""))</f>
        <v/>
      </c>
      <c r="V63" s="210"/>
      <c r="X63" s="211" t="str">
        <f aca="false">IF(A63="new.cod","NEW.COD",IF(AND((Y63=""),ISTEXT(A63)),A63,IF(Y63="","",INDEX('[1]liste reference'!$A$7:$A$906,Y63))))</f>
        <v/>
      </c>
      <c r="Y63" s="9" t="str">
        <f aca="false">IF(ISERROR(MATCH(A63,'[1]liste reference'!$A$7:$A$906,0)),IF(ISERROR(MATCH(A63,'[1]liste reference'!$B$7:$B$906,0)),"",(MATCH(A63,'[1]liste reference'!$B$7:$B$906,0))),(MATCH(A63,'[1]liste reference'!$A$7:$A$906,0)))</f>
        <v/>
      </c>
      <c r="Z63" s="212"/>
      <c r="AA63" s="213"/>
      <c r="BB63" s="9" t="str">
        <f aca="false">IF(A63="","",1)</f>
        <v/>
      </c>
    </row>
    <row r="64" customFormat="false" ht="12.75" hidden="false" customHeight="true" outlineLevel="0" collapsed="false">
      <c r="A64" s="214"/>
      <c r="B64" s="215"/>
      <c r="C64" s="216"/>
      <c r="D64" s="217" t="str">
        <f aca="false">IF(ISERROR(VLOOKUP($A64,'[1]liste reference'!$A$7:$D$906,2,0)),IF(ISERROR(VLOOKUP($A64,'[1]liste reference'!$B$7:$D$906,1,0)),"",VLOOKUP($A64,'[1]liste reference'!$B$7:$D$906,1,0)),VLOOKUP($A64,'[1]liste reference'!$A$7:$D$906,2,0))</f>
        <v/>
      </c>
      <c r="E64" s="217" t="n">
        <f aca="false">IF(D64="",0,VLOOKUP(D64,D$22:D49,1,0))</f>
        <v>0</v>
      </c>
      <c r="F64" s="227" t="n">
        <f aca="false">($B64*$B$7+$C64*$C$7)/100</f>
        <v>0</v>
      </c>
      <c r="G64" s="219" t="str">
        <f aca="false">IF(A64="","",IF(ISERROR(VLOOKUP($A64,'[1]liste reference'!$A$7:$P$906,13,0)),IF(ISERROR(VLOOKUP($A64,'[1]liste reference'!$B$7:$P$906,12,0)),"    -",VLOOKUP($A64,'[1]liste reference'!$B$7:$P$906,12,0)),VLOOKUP($A64,'[1]liste reference'!$A$7:$P$906,13,0)))</f>
        <v/>
      </c>
      <c r="H64" s="201" t="str">
        <f aca="false">IF(A64="","x",IF(ISERROR(VLOOKUP($A64,'[1]liste reference'!$A$7:$P$906,14,0)),IF(ISERROR(VLOOKUP($A64,'[1]liste reference'!$B$7:$P$906,13,0)),"x",VLOOKUP($A64,'[1]liste reference'!$B$7:$P$906,13,0)),VLOOKUP($A64,'[1]liste reference'!$A$7:$P$906,14,0)))</f>
        <v>x</v>
      </c>
      <c r="I64" s="220" t="str">
        <f aca="false">IF(ISNUMBER(H64),IF(ISERROR(VLOOKUP($A64,'[1]liste reference'!$A$7:$P$906,3,0)),IF(ISERROR(VLOOKUP($A64,'[1]liste reference'!$B$7:$P$906,2,0)),"",VLOOKUP($A64,'[1]liste reference'!$B$7:$P$906,2,0)),VLOOKUP($A64,'[1]liste reference'!$A$7:$P$906,3,0)),"")</f>
        <v/>
      </c>
      <c r="J64" s="203" t="str">
        <f aca="false">IF(ISNUMBER(H64),IF(ISERROR(VLOOKUP($A64,'[1]liste reference'!$A$7:$P$906,4,0)),IF(ISERROR(VLOOKUP($A64,'[1]liste reference'!$B$7:$P$906,3,0)),"",VLOOKUP($A64,'[1]liste reference'!$B$7:$P$906,3,0)),VLOOKUP($A64,'[1]liste reference'!$A$7:$P$906,4,0)),"")</f>
        <v/>
      </c>
      <c r="K64" s="221" t="str">
        <f aca="false">IF(A64="NEW.COD",AA64,IF(ISTEXT($E64),"DEJA SAISI !",IF(A64="","",IF(ISERROR(VLOOKUP($A64,'[1]liste reference'!$A$7:$D$906,2,0)),IF(ISERROR(VLOOKUP($A64,'[1]liste reference'!$B$7:$D$906,1,0)),"code non répertorié ou synonyme",VLOOKUP($A64,'[1]liste reference'!$B$7:$D$906,1,0)),VLOOKUP(A64,'[1]liste reference'!$A$7:$D$906,2,0)))))</f>
        <v/>
      </c>
      <c r="L64" s="222"/>
      <c r="M64" s="222"/>
      <c r="N64" s="222"/>
      <c r="O64" s="206"/>
      <c r="P64" s="207" t="str">
        <f aca="false">IF(ISTEXT(H64),"",(B64*$B$7/100)+(C64*$C$7/100))</f>
        <v/>
      </c>
      <c r="Q64" s="208" t="str">
        <f aca="false">IF(OR(ISTEXT(H64),P64=0),"",IF(P64&lt;0.1,1,IF(P64&lt;1,2,IF(P64&lt;10,3,IF(P64&lt;50,4,IF(P64&gt;=50,5,""))))))</f>
        <v/>
      </c>
      <c r="R64" s="208" t="n">
        <f aca="false">IF(ISERROR(Q64*I64),0,Q64*I64)</f>
        <v>0</v>
      </c>
      <c r="S64" s="208" t="n">
        <f aca="false">IF(ISERROR(Q64*I64*J64),0,Q64*I64*J64)</f>
        <v>0</v>
      </c>
      <c r="T64" s="223" t="n">
        <f aca="false">IF(ISERROR(Q64*J64),0,Q64*J64)</f>
        <v>0</v>
      </c>
      <c r="U64" s="209" t="str">
        <f aca="false">IF(AND(A64="",F64=0),"",IF(F64=0,"Il manque le(s) % de rec. !",""))</f>
        <v/>
      </c>
      <c r="V64" s="210"/>
      <c r="X64" s="211" t="str">
        <f aca="false">IF(A64="new.cod","NEW.COD",IF(AND((Y64=""),ISTEXT(A64)),A64,IF(Y64="","",INDEX('[1]liste reference'!$A$7:$A$906,Y64))))</f>
        <v/>
      </c>
      <c r="Y64" s="9" t="str">
        <f aca="false">IF(ISERROR(MATCH(A64,'[1]liste reference'!$A$7:$A$906,0)),IF(ISERROR(MATCH(A64,'[1]liste reference'!$B$7:$B$906,0)),"",(MATCH(A64,'[1]liste reference'!$B$7:$B$906,0))),(MATCH(A64,'[1]liste reference'!$A$7:$A$906,0)))</f>
        <v/>
      </c>
      <c r="Z64" s="212"/>
      <c r="AA64" s="213"/>
      <c r="BB64" s="9" t="str">
        <f aca="false">IF(A64="","",1)</f>
        <v/>
      </c>
    </row>
    <row r="65" customFormat="false" ht="12.75" hidden="false" customHeight="false" outlineLevel="0" collapsed="false">
      <c r="A65" s="214"/>
      <c r="B65" s="215"/>
      <c r="C65" s="216"/>
      <c r="D65" s="217" t="str">
        <f aca="false">IF(ISERROR(VLOOKUP($A65,'[1]liste reference'!$A$7:$D$906,2,0)),IF(ISERROR(VLOOKUP($A65,'[1]liste reference'!$B$7:$D$906,1,0)),"",VLOOKUP($A65,'[1]liste reference'!$B$7:$D$906,1,0)),VLOOKUP($A65,'[1]liste reference'!$A$7:$D$906,2,0))</f>
        <v/>
      </c>
      <c r="E65" s="217" t="n">
        <f aca="false">IF(D65="",0,VLOOKUP(D65,D$22:D50,1,0))</f>
        <v>0</v>
      </c>
      <c r="F65" s="227" t="n">
        <f aca="false">($B65*$B$7+$C65*$C$7)/100</f>
        <v>0</v>
      </c>
      <c r="G65" s="219" t="str">
        <f aca="false">IF(A65="","",IF(ISERROR(VLOOKUP($A65,'[1]liste reference'!$A$7:$P$906,13,0)),IF(ISERROR(VLOOKUP($A65,'[1]liste reference'!$B$7:$P$906,12,0)),"    -",VLOOKUP($A65,'[1]liste reference'!$B$7:$P$906,12,0)),VLOOKUP($A65,'[1]liste reference'!$A$7:$P$906,13,0)))</f>
        <v/>
      </c>
      <c r="H65" s="201" t="str">
        <f aca="false">IF(A65="","x",IF(ISERROR(VLOOKUP($A65,'[1]liste reference'!$A$7:$P$906,14,0)),IF(ISERROR(VLOOKUP($A65,'[1]liste reference'!$B$7:$P$906,13,0)),"x",VLOOKUP($A65,'[1]liste reference'!$B$7:$P$906,13,0)),VLOOKUP($A65,'[1]liste reference'!$A$7:$P$906,14,0)))</f>
        <v>x</v>
      </c>
      <c r="I65" s="220" t="str">
        <f aca="false">IF(ISNUMBER(H65),IF(ISERROR(VLOOKUP($A65,'[1]liste reference'!$A$7:$P$906,3,0)),IF(ISERROR(VLOOKUP($A65,'[1]liste reference'!$B$7:$P$906,2,0)),"",VLOOKUP($A65,'[1]liste reference'!$B$7:$P$906,2,0)),VLOOKUP($A65,'[1]liste reference'!$A$7:$P$906,3,0)),"")</f>
        <v/>
      </c>
      <c r="J65" s="203" t="str">
        <f aca="false">IF(ISNUMBER(H65),IF(ISERROR(VLOOKUP($A65,'[1]liste reference'!$A$7:$P$906,4,0)),IF(ISERROR(VLOOKUP($A65,'[1]liste reference'!$B$7:$P$906,3,0)),"",VLOOKUP($A65,'[1]liste reference'!$B$7:$P$906,3,0)),VLOOKUP($A65,'[1]liste reference'!$A$7:$P$906,4,0)),"")</f>
        <v/>
      </c>
      <c r="K65" s="221" t="str">
        <f aca="false">IF(A65="NEW.COD",AA65,IF(ISTEXT($E65),"DEJA SAISI !",IF(A65="","",IF(ISERROR(VLOOKUP($A65,'[1]liste reference'!$A$7:$D$906,2,0)),IF(ISERROR(VLOOKUP($A65,'[1]liste reference'!$B$7:$D$906,1,0)),"code non répertorié ou synonyme",VLOOKUP($A65,'[1]liste reference'!$B$7:$D$906,1,0)),VLOOKUP(A65,'[1]liste reference'!$A$7:$D$906,2,0)))))</f>
        <v/>
      </c>
      <c r="L65" s="222"/>
      <c r="M65" s="222"/>
      <c r="N65" s="222"/>
      <c r="O65" s="206"/>
      <c r="P65" s="207" t="str">
        <f aca="false">IF(ISTEXT(H65),"",(B65*$B$7/100)+(C65*$C$7/100))</f>
        <v/>
      </c>
      <c r="Q65" s="208" t="str">
        <f aca="false">IF(OR(ISTEXT(H65),P65=0),"",IF(P65&lt;0.1,1,IF(P65&lt;1,2,IF(P65&lt;10,3,IF(P65&lt;50,4,IF(P65&gt;=50,5,""))))))</f>
        <v/>
      </c>
      <c r="R65" s="208" t="n">
        <f aca="false">IF(ISERROR(Q65*I65),0,Q65*I65)</f>
        <v>0</v>
      </c>
      <c r="S65" s="208" t="n">
        <f aca="false">IF(ISERROR(Q65*I65*J65),0,Q65*I65*J65)</f>
        <v>0</v>
      </c>
      <c r="T65" s="223" t="n">
        <f aca="false">IF(ISERROR(Q65*J65),0,Q65*J65)</f>
        <v>0</v>
      </c>
      <c r="U65" s="209" t="str">
        <f aca="false">IF(AND(A65="",F65=0),"",IF(F65=0,"Il manque le(s) % de rec. !",""))</f>
        <v/>
      </c>
      <c r="V65" s="210"/>
      <c r="X65" s="211" t="str">
        <f aca="false">IF(A65="new.cod","NEW.COD",IF(AND((Y65=""),ISTEXT(A65)),A65,IF(Y65="","",INDEX('[1]liste reference'!$A$7:$A$906,Y65))))</f>
        <v/>
      </c>
      <c r="Y65" s="9" t="str">
        <f aca="false">IF(ISERROR(MATCH(A65,'[1]liste reference'!$A$7:$A$906,0)),IF(ISERROR(MATCH(A65,'[1]liste reference'!$B$7:$B$906,0)),"",(MATCH(A65,'[1]liste reference'!$B$7:$B$906,0))),(MATCH(A65,'[1]liste reference'!$A$7:$A$906,0)))</f>
        <v/>
      </c>
      <c r="Z65" s="212"/>
      <c r="AA65" s="213"/>
      <c r="BB65" s="9" t="str">
        <f aca="false">IF(A65="","",1)</f>
        <v/>
      </c>
    </row>
    <row r="66" customFormat="false" ht="12.75" hidden="false" customHeight="false" outlineLevel="0" collapsed="false">
      <c r="A66" s="214"/>
      <c r="B66" s="215"/>
      <c r="C66" s="216"/>
      <c r="D66" s="217" t="str">
        <f aca="false">IF(ISERROR(VLOOKUP($A66,'[1]liste reference'!$A$7:$D$906,2,0)),IF(ISERROR(VLOOKUP($A66,'[1]liste reference'!$B$7:$D$906,1,0)),"",VLOOKUP($A66,'[1]liste reference'!$B$7:$D$906,1,0)),VLOOKUP($A66,'[1]liste reference'!$A$7:$D$906,2,0))</f>
        <v/>
      </c>
      <c r="E66" s="217" t="n">
        <f aca="false">IF(D66="",0,VLOOKUP(D66,D$22:D51,1,0))</f>
        <v>0</v>
      </c>
      <c r="F66" s="227" t="n">
        <f aca="false">($B66*$B$7+$C66*$C$7)/100</f>
        <v>0</v>
      </c>
      <c r="G66" s="219" t="str">
        <f aca="false">IF(A66="","",IF(ISERROR(VLOOKUP($A66,'[1]liste reference'!$A$7:$P$906,13,0)),IF(ISERROR(VLOOKUP($A66,'[1]liste reference'!$B$7:$P$906,12,0)),"    -",VLOOKUP($A66,'[1]liste reference'!$B$7:$P$906,12,0)),VLOOKUP($A66,'[1]liste reference'!$A$7:$P$906,13,0)))</f>
        <v/>
      </c>
      <c r="H66" s="201" t="str">
        <f aca="false">IF(A66="","x",IF(ISERROR(VLOOKUP($A66,'[1]liste reference'!$A$7:$P$906,14,0)),IF(ISERROR(VLOOKUP($A66,'[1]liste reference'!$B$7:$P$906,13,0)),"x",VLOOKUP($A66,'[1]liste reference'!$B$7:$P$906,13,0)),VLOOKUP($A66,'[1]liste reference'!$A$7:$P$906,14,0)))</f>
        <v>x</v>
      </c>
      <c r="I66" s="220" t="str">
        <f aca="false">IF(ISNUMBER(H66),IF(ISERROR(VLOOKUP($A66,'[1]liste reference'!$A$7:$P$906,3,0)),IF(ISERROR(VLOOKUP($A66,'[1]liste reference'!$B$7:$P$906,2,0)),"",VLOOKUP($A66,'[1]liste reference'!$B$7:$P$906,2,0)),VLOOKUP($A66,'[1]liste reference'!$A$7:$P$906,3,0)),"")</f>
        <v/>
      </c>
      <c r="J66" s="203" t="str">
        <f aca="false">IF(ISNUMBER(H66),IF(ISERROR(VLOOKUP($A66,'[1]liste reference'!$A$7:$P$906,4,0)),IF(ISERROR(VLOOKUP($A66,'[1]liste reference'!$B$7:$P$906,3,0)),"",VLOOKUP($A66,'[1]liste reference'!$B$7:$P$906,3,0)),VLOOKUP($A66,'[1]liste reference'!$A$7:$P$906,4,0)),"")</f>
        <v/>
      </c>
      <c r="K66" s="221" t="str">
        <f aca="false">IF(A66="NEW.COD",AA66,IF(ISTEXT($E66),"DEJA SAISI !",IF(A66="","",IF(ISERROR(VLOOKUP($A66,'[1]liste reference'!$A$7:$D$906,2,0)),IF(ISERROR(VLOOKUP($A66,'[1]liste reference'!$B$7:$D$906,1,0)),"code non répertorié ou synonyme",VLOOKUP($A66,'[1]liste reference'!$B$7:$D$906,1,0)),VLOOKUP(A66,'[1]liste reference'!$A$7:$D$906,2,0)))))</f>
        <v/>
      </c>
      <c r="L66" s="222"/>
      <c r="M66" s="222"/>
      <c r="N66" s="222"/>
      <c r="O66" s="206"/>
      <c r="P66" s="207" t="str">
        <f aca="false">IF(ISTEXT(H66),"",(B66*$B$7/100)+(C66*$C$7/100))</f>
        <v/>
      </c>
      <c r="Q66" s="208" t="str">
        <f aca="false">IF(OR(ISTEXT(H66),P66=0),"",IF(P66&lt;0.1,1,IF(P66&lt;1,2,IF(P66&lt;10,3,IF(P66&lt;50,4,IF(P66&gt;=50,5,""))))))</f>
        <v/>
      </c>
      <c r="R66" s="208" t="n">
        <f aca="false">IF(ISERROR(Q66*I66),0,Q66*I66)</f>
        <v>0</v>
      </c>
      <c r="S66" s="208" t="n">
        <f aca="false">IF(ISERROR(Q66*I66*J66),0,Q66*I66*J66)</f>
        <v>0</v>
      </c>
      <c r="T66" s="223" t="n">
        <f aca="false">IF(ISERROR(Q66*J66),0,Q66*J66)</f>
        <v>0</v>
      </c>
      <c r="U66" s="209" t="str">
        <f aca="false">IF(AND(A66="",F66=0),"",IF(F66=0,"Il manque le(s) % de rec. !",""))</f>
        <v/>
      </c>
      <c r="V66" s="210"/>
      <c r="X66" s="211" t="str">
        <f aca="false">IF(A66="new.cod","NEW.COD",IF(AND((Y66=""),ISTEXT(A66)),A66,IF(Y66="","",INDEX('[1]liste reference'!$A$7:$A$906,Y66))))</f>
        <v/>
      </c>
      <c r="Y66" s="9" t="str">
        <f aca="false">IF(ISERROR(MATCH(A66,'[1]liste reference'!$A$7:$A$906,0)),IF(ISERROR(MATCH(A66,'[1]liste reference'!$B$7:$B$906,0)),"",(MATCH(A66,'[1]liste reference'!$B$7:$B$906,0))),(MATCH(A66,'[1]liste reference'!$A$7:$A$906,0)))</f>
        <v/>
      </c>
      <c r="Z66" s="212"/>
      <c r="AA66" s="213"/>
      <c r="BB66" s="9" t="str">
        <f aca="false">IF(A66="","",1)</f>
        <v/>
      </c>
    </row>
    <row r="67" customFormat="false" ht="12.75" hidden="false" customHeight="false" outlineLevel="0" collapsed="false">
      <c r="A67" s="214"/>
      <c r="B67" s="215"/>
      <c r="C67" s="216"/>
      <c r="D67" s="217" t="str">
        <f aca="false">IF(ISERROR(VLOOKUP($A67,'[1]liste reference'!$A$7:$D$906,2,0)),IF(ISERROR(VLOOKUP($A67,'[1]liste reference'!$B$7:$D$906,1,0)),"",VLOOKUP($A67,'[1]liste reference'!$B$7:$D$906,1,0)),VLOOKUP($A67,'[1]liste reference'!$A$7:$D$906,2,0))</f>
        <v/>
      </c>
      <c r="E67" s="217" t="n">
        <f aca="false">IF(D67="",0,VLOOKUP(D67,D$22:D52,1,0))</f>
        <v>0</v>
      </c>
      <c r="F67" s="227" t="n">
        <f aca="false">($B67*$B$7+$C67*$C$7)/100</f>
        <v>0</v>
      </c>
      <c r="G67" s="219" t="str">
        <f aca="false">IF(A67="","",IF(ISERROR(VLOOKUP($A67,'[1]liste reference'!$A$7:$P$906,13,0)),IF(ISERROR(VLOOKUP($A67,'[1]liste reference'!$B$7:$P$906,12,0)),"    -",VLOOKUP($A67,'[1]liste reference'!$B$7:$P$906,12,0)),VLOOKUP($A67,'[1]liste reference'!$A$7:$P$906,13,0)))</f>
        <v/>
      </c>
      <c r="H67" s="201" t="str">
        <f aca="false">IF(A67="","x",IF(ISERROR(VLOOKUP($A67,'[1]liste reference'!$A$7:$P$906,14,0)),IF(ISERROR(VLOOKUP($A67,'[1]liste reference'!$B$7:$P$906,13,0)),"x",VLOOKUP($A67,'[1]liste reference'!$B$7:$P$906,13,0)),VLOOKUP($A67,'[1]liste reference'!$A$7:$P$906,14,0)))</f>
        <v>x</v>
      </c>
      <c r="I67" s="220" t="str">
        <f aca="false">IF(ISNUMBER(H67),IF(ISERROR(VLOOKUP($A67,'[1]liste reference'!$A$7:$P$906,3,0)),IF(ISERROR(VLOOKUP($A67,'[1]liste reference'!$B$7:$P$906,2,0)),"",VLOOKUP($A67,'[1]liste reference'!$B$7:$P$906,2,0)),VLOOKUP($A67,'[1]liste reference'!$A$7:$P$906,3,0)),"")</f>
        <v/>
      </c>
      <c r="J67" s="203" t="str">
        <f aca="false">IF(ISNUMBER(H67),IF(ISERROR(VLOOKUP($A67,'[1]liste reference'!$A$7:$P$906,4,0)),IF(ISERROR(VLOOKUP($A67,'[1]liste reference'!$B$7:$P$906,3,0)),"",VLOOKUP($A67,'[1]liste reference'!$B$7:$P$906,3,0)),VLOOKUP($A67,'[1]liste reference'!$A$7:$P$906,4,0)),"")</f>
        <v/>
      </c>
      <c r="K67" s="221" t="str">
        <f aca="false">IF(A67="NEW.COD",AA67,IF(ISTEXT($E67),"DEJA SAISI !",IF(A67="","",IF(ISERROR(VLOOKUP($A67,'[1]liste reference'!$A$7:$D$906,2,0)),IF(ISERROR(VLOOKUP($A67,'[1]liste reference'!$B$7:$D$906,1,0)),"code non répertorié ou synonyme",VLOOKUP($A67,'[1]liste reference'!$B$7:$D$906,1,0)),VLOOKUP(A67,'[1]liste reference'!$A$7:$D$906,2,0)))))</f>
        <v/>
      </c>
      <c r="L67" s="222"/>
      <c r="M67" s="222"/>
      <c r="N67" s="222"/>
      <c r="O67" s="206"/>
      <c r="P67" s="207" t="str">
        <f aca="false">IF(ISTEXT(H67),"",(B67*$B$7/100)+(C67*$C$7/100))</f>
        <v/>
      </c>
      <c r="Q67" s="208" t="str">
        <f aca="false">IF(OR(ISTEXT(H67),P67=0),"",IF(P67&lt;0.1,1,IF(P67&lt;1,2,IF(P67&lt;10,3,IF(P67&lt;50,4,IF(P67&gt;=50,5,""))))))</f>
        <v/>
      </c>
      <c r="R67" s="208" t="n">
        <f aca="false">IF(ISERROR(Q67*I67),0,Q67*I67)</f>
        <v>0</v>
      </c>
      <c r="S67" s="208" t="n">
        <f aca="false">IF(ISERROR(Q67*I67*J67),0,Q67*I67*J67)</f>
        <v>0</v>
      </c>
      <c r="T67" s="223" t="n">
        <f aca="false">IF(ISERROR(Q67*J67),0,Q67*J67)</f>
        <v>0</v>
      </c>
      <c r="U67" s="209" t="str">
        <f aca="false">IF(AND(A67="",F67=0),"",IF(F67=0,"Il manque le(s) % de rec. !",""))</f>
        <v/>
      </c>
      <c r="V67" s="210"/>
      <c r="X67" s="211" t="str">
        <f aca="false">IF(A67="new.cod","NEW.COD",IF(AND((Y67=""),ISTEXT(A67)),A67,IF(Y67="","",INDEX('[1]liste reference'!$A$7:$A$906,Y67))))</f>
        <v/>
      </c>
      <c r="Y67" s="9" t="str">
        <f aca="false">IF(ISERROR(MATCH(A67,'[1]liste reference'!$A$7:$A$906,0)),IF(ISERROR(MATCH(A67,'[1]liste reference'!$B$7:$B$906,0)),"",(MATCH(A67,'[1]liste reference'!$B$7:$B$906,0))),(MATCH(A67,'[1]liste reference'!$A$7:$A$906,0)))</f>
        <v/>
      </c>
      <c r="Z67" s="212"/>
      <c r="AA67" s="213"/>
      <c r="BB67" s="9" t="str">
        <f aca="false">IF(A67="","",1)</f>
        <v/>
      </c>
    </row>
    <row r="68" customFormat="false" ht="12.75" hidden="false" customHeight="false" outlineLevel="0" collapsed="false">
      <c r="A68" s="214"/>
      <c r="B68" s="215"/>
      <c r="C68" s="216"/>
      <c r="D68" s="217" t="str">
        <f aca="false">IF(ISERROR(VLOOKUP($A68,'[1]liste reference'!$A$7:$D$906,2,0)),IF(ISERROR(VLOOKUP($A68,'[1]liste reference'!$B$7:$D$906,1,0)),"",VLOOKUP($A68,'[1]liste reference'!$B$7:$D$906,1,0)),VLOOKUP($A68,'[1]liste reference'!$A$7:$D$906,2,0))</f>
        <v/>
      </c>
      <c r="E68" s="217" t="n">
        <f aca="false">IF(D68="",0,VLOOKUP(D68,D$22:D53,1,0))</f>
        <v>0</v>
      </c>
      <c r="F68" s="227" t="n">
        <f aca="false">($B68*$B$7+$C68*$C$7)/100</f>
        <v>0</v>
      </c>
      <c r="G68" s="219" t="str">
        <f aca="false">IF(A68="","",IF(ISERROR(VLOOKUP($A68,'[1]liste reference'!$A$7:$P$906,13,0)),IF(ISERROR(VLOOKUP($A68,'[1]liste reference'!$B$7:$P$906,12,0)),"    -",VLOOKUP($A68,'[1]liste reference'!$B$7:$P$906,12,0)),VLOOKUP($A68,'[1]liste reference'!$A$7:$P$906,13,0)))</f>
        <v/>
      </c>
      <c r="H68" s="201" t="str">
        <f aca="false">IF(A68="","x",IF(ISERROR(VLOOKUP($A68,'[1]liste reference'!$A$7:$P$906,14,0)),IF(ISERROR(VLOOKUP($A68,'[1]liste reference'!$B$7:$P$906,13,0)),"x",VLOOKUP($A68,'[1]liste reference'!$B$7:$P$906,13,0)),VLOOKUP($A68,'[1]liste reference'!$A$7:$P$906,14,0)))</f>
        <v>x</v>
      </c>
      <c r="I68" s="220" t="str">
        <f aca="false">IF(ISNUMBER(H68),IF(ISERROR(VLOOKUP($A68,'[1]liste reference'!$A$7:$P$906,3,0)),IF(ISERROR(VLOOKUP($A68,'[1]liste reference'!$B$7:$P$906,2,0)),"",VLOOKUP($A68,'[1]liste reference'!$B$7:$P$906,2,0)),VLOOKUP($A68,'[1]liste reference'!$A$7:$P$906,3,0)),"")</f>
        <v/>
      </c>
      <c r="J68" s="203" t="str">
        <f aca="false">IF(ISNUMBER(H68),IF(ISERROR(VLOOKUP($A68,'[1]liste reference'!$A$7:$P$906,4,0)),IF(ISERROR(VLOOKUP($A68,'[1]liste reference'!$B$7:$P$906,3,0)),"",VLOOKUP($A68,'[1]liste reference'!$B$7:$P$906,3,0)),VLOOKUP($A68,'[1]liste reference'!$A$7:$P$906,4,0)),"")</f>
        <v/>
      </c>
      <c r="K68" s="221" t="str">
        <f aca="false">IF(A68="NEW.COD",AA68,IF(ISTEXT($E68),"DEJA SAISI !",IF(A68="","",IF(ISERROR(VLOOKUP($A68,'[1]liste reference'!$A$7:$D$906,2,0)),IF(ISERROR(VLOOKUP($A68,'[1]liste reference'!$B$7:$D$906,1,0)),"code non répertorié ou synonyme",VLOOKUP($A68,'[1]liste reference'!$B$7:$D$906,1,0)),VLOOKUP(A68,'[1]liste reference'!$A$7:$D$906,2,0)))))</f>
        <v/>
      </c>
      <c r="L68" s="222"/>
      <c r="M68" s="222"/>
      <c r="N68" s="222"/>
      <c r="O68" s="206"/>
      <c r="P68" s="207" t="str">
        <f aca="false">IF(ISTEXT(H68),"",(B68*$B$7/100)+(C68*$C$7/100))</f>
        <v/>
      </c>
      <c r="Q68" s="208" t="str">
        <f aca="false">IF(OR(ISTEXT(H68),P68=0),"",IF(P68&lt;0.1,1,IF(P68&lt;1,2,IF(P68&lt;10,3,IF(P68&lt;50,4,IF(P68&gt;=50,5,""))))))</f>
        <v/>
      </c>
      <c r="R68" s="208" t="n">
        <f aca="false">IF(ISERROR(Q68*I68),0,Q68*I68)</f>
        <v>0</v>
      </c>
      <c r="S68" s="208" t="n">
        <f aca="false">IF(ISERROR(Q68*I68*J68),0,Q68*I68*J68)</f>
        <v>0</v>
      </c>
      <c r="T68" s="223" t="n">
        <f aca="false">IF(ISERROR(Q68*J68),0,Q68*J68)</f>
        <v>0</v>
      </c>
      <c r="U68" s="209" t="str">
        <f aca="false">IF(AND(A68="",F68=0),"",IF(F68=0,"Il manque le(s) % de rec. !",""))</f>
        <v/>
      </c>
      <c r="V68" s="210"/>
      <c r="X68" s="211" t="str">
        <f aca="false">IF(A68="new.cod","NEW.COD",IF(AND((Y68=""),ISTEXT(A68)),A68,IF(Y68="","",INDEX('[1]liste reference'!$A$7:$A$906,Y68))))</f>
        <v/>
      </c>
      <c r="Y68" s="9" t="str">
        <f aca="false">IF(ISERROR(MATCH(A68,'[1]liste reference'!$A$7:$A$906,0)),IF(ISERROR(MATCH(A68,'[1]liste reference'!$B$7:$B$906,0)),"",(MATCH(A68,'[1]liste reference'!$B$7:$B$906,0))),(MATCH(A68,'[1]liste reference'!$A$7:$A$906,0)))</f>
        <v/>
      </c>
      <c r="Z68" s="212"/>
      <c r="AA68" s="213"/>
      <c r="BB68" s="9" t="str">
        <f aca="false">IF(A68="","",1)</f>
        <v/>
      </c>
    </row>
    <row r="69" customFormat="false" ht="12.75" hidden="false" customHeight="false" outlineLevel="0" collapsed="false">
      <c r="A69" s="214"/>
      <c r="B69" s="215"/>
      <c r="C69" s="216"/>
      <c r="D69" s="217" t="str">
        <f aca="false">IF(ISERROR(VLOOKUP($A69,'[1]liste reference'!$A$7:$D$906,2,0)),IF(ISERROR(VLOOKUP($A69,'[1]liste reference'!$B$7:$D$906,1,0)),"",VLOOKUP($A69,'[1]liste reference'!$B$7:$D$906,1,0)),VLOOKUP($A69,'[1]liste reference'!$A$7:$D$906,2,0))</f>
        <v/>
      </c>
      <c r="E69" s="217" t="n">
        <f aca="false">IF(D69="",0,VLOOKUP(D69,D$22:D53,1,0))</f>
        <v>0</v>
      </c>
      <c r="F69" s="227" t="n">
        <f aca="false">($B69*$B$7+$C69*$C$7)/100</f>
        <v>0</v>
      </c>
      <c r="G69" s="219" t="str">
        <f aca="false">IF(A69="","",IF(ISERROR(VLOOKUP($A69,'[1]liste reference'!$A$7:$P$906,13,0)),IF(ISERROR(VLOOKUP($A69,'[1]liste reference'!$B$7:$P$906,12,0)),"    -",VLOOKUP($A69,'[1]liste reference'!$B$7:$P$906,12,0)),VLOOKUP($A69,'[1]liste reference'!$A$7:$P$906,13,0)))</f>
        <v/>
      </c>
      <c r="H69" s="201" t="str">
        <f aca="false">IF(A69="","x",IF(ISERROR(VLOOKUP($A69,'[1]liste reference'!$A$7:$P$906,14,0)),IF(ISERROR(VLOOKUP($A69,'[1]liste reference'!$B$7:$P$906,13,0)),"x",VLOOKUP($A69,'[1]liste reference'!$B$7:$P$906,13,0)),VLOOKUP($A69,'[1]liste reference'!$A$7:$P$906,14,0)))</f>
        <v>x</v>
      </c>
      <c r="I69" s="220" t="str">
        <f aca="false">IF(ISNUMBER(H69),IF(ISERROR(VLOOKUP($A69,'[1]liste reference'!$A$7:$P$906,3,0)),IF(ISERROR(VLOOKUP($A69,'[1]liste reference'!$B$7:$P$906,2,0)),"",VLOOKUP($A69,'[1]liste reference'!$B$7:$P$906,2,0)),VLOOKUP($A69,'[1]liste reference'!$A$7:$P$906,3,0)),"")</f>
        <v/>
      </c>
      <c r="J69" s="203" t="str">
        <f aca="false">IF(ISNUMBER(H69),IF(ISERROR(VLOOKUP($A69,'[1]liste reference'!$A$7:$P$906,4,0)),IF(ISERROR(VLOOKUP($A69,'[1]liste reference'!$B$7:$P$906,3,0)),"",VLOOKUP($A69,'[1]liste reference'!$B$7:$P$906,3,0)),VLOOKUP($A69,'[1]liste reference'!$A$7:$P$906,4,0)),"")</f>
        <v/>
      </c>
      <c r="K69" s="221" t="str">
        <f aca="false">IF(A69="NEW.COD",AA69,IF(ISTEXT($E69),"DEJA SAISI !",IF(A69="","",IF(ISERROR(VLOOKUP($A69,'[1]liste reference'!$A$7:$D$906,2,0)),IF(ISERROR(VLOOKUP($A69,'[1]liste reference'!$B$7:$D$906,1,0)),"code non répertorié ou synonyme",VLOOKUP($A69,'[1]liste reference'!$B$7:$D$906,1,0)),VLOOKUP(A69,'[1]liste reference'!$A$7:$D$906,2,0)))))</f>
        <v/>
      </c>
      <c r="L69" s="222"/>
      <c r="M69" s="222"/>
      <c r="N69" s="222"/>
      <c r="O69" s="206"/>
      <c r="P69" s="207" t="str">
        <f aca="false">IF(ISTEXT(H69),"",(B69*$B$7/100)+(C69*$C$7/100))</f>
        <v/>
      </c>
      <c r="Q69" s="208" t="str">
        <f aca="false">IF(OR(ISTEXT(H69),P69=0),"",IF(P69&lt;0.1,1,IF(P69&lt;1,2,IF(P69&lt;10,3,IF(P69&lt;50,4,IF(P69&gt;=50,5,""))))))</f>
        <v/>
      </c>
      <c r="R69" s="208" t="n">
        <f aca="false">IF(ISERROR(Q69*I69),0,Q69*I69)</f>
        <v>0</v>
      </c>
      <c r="S69" s="208" t="n">
        <f aca="false">IF(ISERROR(Q69*I69*J69),0,Q69*I69*J69)</f>
        <v>0</v>
      </c>
      <c r="T69" s="223" t="n">
        <f aca="false">IF(ISERROR(Q69*J69),0,Q69*J69)</f>
        <v>0</v>
      </c>
      <c r="U69" s="209" t="str">
        <f aca="false">IF(AND(A69="",F69=0),"",IF(F69=0,"Il manque le(s) % de rec. !",""))</f>
        <v/>
      </c>
      <c r="V69" s="210"/>
      <c r="X69" s="211" t="str">
        <f aca="false">IF(A69="new.cod","NEW.COD",IF(AND((Y69=""),ISTEXT(A69)),A69,IF(Y69="","",INDEX('[1]liste reference'!$A$7:$A$906,Y69))))</f>
        <v/>
      </c>
      <c r="Y69" s="9" t="str">
        <f aca="false">IF(ISERROR(MATCH(A69,'[1]liste reference'!$A$7:$A$906,0)),IF(ISERROR(MATCH(A69,'[1]liste reference'!$B$7:$B$906,0)),"",(MATCH(A69,'[1]liste reference'!$B$7:$B$906,0))),(MATCH(A69,'[1]liste reference'!$A$7:$A$906,0)))</f>
        <v/>
      </c>
      <c r="Z69" s="212"/>
      <c r="AA69" s="213"/>
      <c r="BB69" s="9" t="str">
        <f aca="false">IF(A69="","",1)</f>
        <v/>
      </c>
    </row>
    <row r="70" customFormat="false" ht="12.75" hidden="false" customHeight="false" outlineLevel="0" collapsed="false">
      <c r="A70" s="214"/>
      <c r="B70" s="215"/>
      <c r="C70" s="216"/>
      <c r="D70" s="217" t="str">
        <f aca="false">IF(ISERROR(VLOOKUP($A70,'[1]liste reference'!$A$7:$D$906,2,0)),IF(ISERROR(VLOOKUP($A70,'[1]liste reference'!$B$7:$D$906,1,0)),"",VLOOKUP($A70,'[1]liste reference'!$B$7:$D$906,1,0)),VLOOKUP($A70,'[1]liste reference'!$A$7:$D$906,2,0))</f>
        <v/>
      </c>
      <c r="E70" s="217" t="n">
        <f aca="false">IF(D70="",0,VLOOKUP(D70,D$22:D54,1,0))</f>
        <v>0</v>
      </c>
      <c r="F70" s="227" t="n">
        <f aca="false">($B70*$B$7+$C70*$C$7)/100</f>
        <v>0</v>
      </c>
      <c r="G70" s="219" t="str">
        <f aca="false">IF(A70="","",IF(ISERROR(VLOOKUP($A70,'[1]liste reference'!$A$7:$P$906,13,0)),IF(ISERROR(VLOOKUP($A70,'[1]liste reference'!$B$7:$P$906,12,0)),"    -",VLOOKUP($A70,'[1]liste reference'!$B$7:$P$906,12,0)),VLOOKUP($A70,'[1]liste reference'!$A$7:$P$906,13,0)))</f>
        <v/>
      </c>
      <c r="H70" s="201" t="str">
        <f aca="false">IF(A70="","x",IF(ISERROR(VLOOKUP($A70,'[1]liste reference'!$A$7:$P$906,14,0)),IF(ISERROR(VLOOKUP($A70,'[1]liste reference'!$B$7:$P$906,13,0)),"x",VLOOKUP($A70,'[1]liste reference'!$B$7:$P$906,13,0)),VLOOKUP($A70,'[1]liste reference'!$A$7:$P$906,14,0)))</f>
        <v>x</v>
      </c>
      <c r="I70" s="220" t="str">
        <f aca="false">IF(ISNUMBER(H70),IF(ISERROR(VLOOKUP($A70,'[1]liste reference'!$A$7:$P$906,3,0)),IF(ISERROR(VLOOKUP($A70,'[1]liste reference'!$B$7:$P$906,2,0)),"",VLOOKUP($A70,'[1]liste reference'!$B$7:$P$906,2,0)),VLOOKUP($A70,'[1]liste reference'!$A$7:$P$906,3,0)),"")</f>
        <v/>
      </c>
      <c r="J70" s="203" t="str">
        <f aca="false">IF(ISNUMBER(H70),IF(ISERROR(VLOOKUP($A70,'[1]liste reference'!$A$7:$P$906,4,0)),IF(ISERROR(VLOOKUP($A70,'[1]liste reference'!$B$7:$P$906,3,0)),"",VLOOKUP($A70,'[1]liste reference'!$B$7:$P$906,3,0)),VLOOKUP($A70,'[1]liste reference'!$A$7:$P$906,4,0)),"")</f>
        <v/>
      </c>
      <c r="K70" s="221" t="str">
        <f aca="false">IF(A70="NEW.COD",AA70,IF(ISTEXT($E70),"DEJA SAISI !",IF(A70="","",IF(ISERROR(VLOOKUP($A70,'[1]liste reference'!$A$7:$D$906,2,0)),IF(ISERROR(VLOOKUP($A70,'[1]liste reference'!$B$7:$D$906,1,0)),"code non répertorié ou synonyme",VLOOKUP($A70,'[1]liste reference'!$B$7:$D$906,1,0)),VLOOKUP(A70,'[1]liste reference'!$A$7:$D$906,2,0)))))</f>
        <v/>
      </c>
      <c r="L70" s="222"/>
      <c r="M70" s="222"/>
      <c r="N70" s="222"/>
      <c r="O70" s="206"/>
      <c r="P70" s="207" t="str">
        <f aca="false">IF(ISTEXT(H70),"",(B70*$B$7/100)+(C70*$C$7/100))</f>
        <v/>
      </c>
      <c r="Q70" s="208" t="str">
        <f aca="false">IF(OR(ISTEXT(H70),P70=0),"",IF(P70&lt;0.1,1,IF(P70&lt;1,2,IF(P70&lt;10,3,IF(P70&lt;50,4,IF(P70&gt;=50,5,""))))))</f>
        <v/>
      </c>
      <c r="R70" s="208" t="n">
        <f aca="false">IF(ISERROR(Q70*I70),0,Q70*I70)</f>
        <v>0</v>
      </c>
      <c r="S70" s="208" t="n">
        <f aca="false">IF(ISERROR(Q70*I70*J70),0,Q70*I70*J70)</f>
        <v>0</v>
      </c>
      <c r="T70" s="223" t="n">
        <f aca="false">IF(ISERROR(Q70*J70),0,Q70*J70)</f>
        <v>0</v>
      </c>
      <c r="U70" s="209" t="str">
        <f aca="false">IF(AND(A70="",F70=0),"",IF(F70=0,"Il manque le(s) % de rec. !",""))</f>
        <v/>
      </c>
      <c r="V70" s="210"/>
      <c r="X70" s="211" t="str">
        <f aca="false">IF(A70="new.cod","NEW.COD",IF(AND((Y70=""),ISTEXT(A70)),A70,IF(Y70="","",INDEX('[1]liste reference'!$A$7:$A$906,Y70))))</f>
        <v/>
      </c>
      <c r="Y70" s="9" t="str">
        <f aca="false">IF(ISERROR(MATCH(A70,'[1]liste reference'!$A$7:$A$906,0)),IF(ISERROR(MATCH(A70,'[1]liste reference'!$B$7:$B$906,0)),"",(MATCH(A70,'[1]liste reference'!$B$7:$B$906,0))),(MATCH(A70,'[1]liste reference'!$A$7:$A$906,0)))</f>
        <v/>
      </c>
      <c r="Z70" s="212"/>
      <c r="AA70" s="213"/>
      <c r="BB70" s="9" t="str">
        <f aca="false">IF(A70="","",1)</f>
        <v/>
      </c>
    </row>
    <row r="71" customFormat="false" ht="12.75" hidden="false" customHeight="false" outlineLevel="0" collapsed="false">
      <c r="A71" s="214"/>
      <c r="B71" s="215"/>
      <c r="C71" s="216"/>
      <c r="D71" s="217" t="str">
        <f aca="false">IF(ISERROR(VLOOKUP($A71,'[1]liste reference'!$A$7:$D$906,2,0)),IF(ISERROR(VLOOKUP($A71,'[1]liste reference'!$B$7:$D$906,1,0)),"",VLOOKUP($A71,'[1]liste reference'!$B$7:$D$906,1,0)),VLOOKUP($A71,'[1]liste reference'!$A$7:$D$906,2,0))</f>
        <v/>
      </c>
      <c r="E71" s="217" t="n">
        <f aca="false">IF(D71="",0,VLOOKUP(D71,D$22:D54,1,0))</f>
        <v>0</v>
      </c>
      <c r="F71" s="227" t="n">
        <f aca="false">($B71*$B$7+$C71*$C$7)/100</f>
        <v>0</v>
      </c>
      <c r="G71" s="219" t="str">
        <f aca="false">IF(A71="","",IF(ISERROR(VLOOKUP($A71,'[1]liste reference'!$A$7:$P$906,13,0)),IF(ISERROR(VLOOKUP($A71,'[1]liste reference'!$B$7:$P$906,12,0)),"    -",VLOOKUP($A71,'[1]liste reference'!$B$7:$P$906,12,0)),VLOOKUP($A71,'[1]liste reference'!$A$7:$P$906,13,0)))</f>
        <v/>
      </c>
      <c r="H71" s="201" t="str">
        <f aca="false">IF(A71="","x",IF(ISERROR(VLOOKUP($A71,'[1]liste reference'!$A$7:$P$906,14,0)),IF(ISERROR(VLOOKUP($A71,'[1]liste reference'!$B$7:$P$906,13,0)),"x",VLOOKUP($A71,'[1]liste reference'!$B$7:$P$906,13,0)),VLOOKUP($A71,'[1]liste reference'!$A$7:$P$906,14,0)))</f>
        <v>x</v>
      </c>
      <c r="I71" s="220" t="str">
        <f aca="false">IF(ISNUMBER(H71),IF(ISERROR(VLOOKUP($A71,'[1]liste reference'!$A$7:$P$906,3,0)),IF(ISERROR(VLOOKUP($A71,'[1]liste reference'!$B$7:$P$906,2,0)),"",VLOOKUP($A71,'[1]liste reference'!$B$7:$P$906,2,0)),VLOOKUP($A71,'[1]liste reference'!$A$7:$P$906,3,0)),"")</f>
        <v/>
      </c>
      <c r="J71" s="203" t="str">
        <f aca="false">IF(ISNUMBER(H71),IF(ISERROR(VLOOKUP($A71,'[1]liste reference'!$A$7:$P$906,4,0)),IF(ISERROR(VLOOKUP($A71,'[1]liste reference'!$B$7:$P$906,3,0)),"",VLOOKUP($A71,'[1]liste reference'!$B$7:$P$906,3,0)),VLOOKUP($A71,'[1]liste reference'!$A$7:$P$906,4,0)),"")</f>
        <v/>
      </c>
      <c r="K71" s="221" t="str">
        <f aca="false">IF(A71="NEW.COD",AA71,IF(ISTEXT($E71),"DEJA SAISI !",IF(A71="","",IF(ISERROR(VLOOKUP($A71,'[1]liste reference'!$A$7:$D$906,2,0)),IF(ISERROR(VLOOKUP($A71,'[1]liste reference'!$B$7:$D$906,1,0)),"code non répertorié ou synonyme",VLOOKUP($A71,'[1]liste reference'!$B$7:$D$906,1,0)),VLOOKUP(A71,'[1]liste reference'!$A$7:$D$906,2,0)))))</f>
        <v/>
      </c>
      <c r="L71" s="222"/>
      <c r="M71" s="222"/>
      <c r="N71" s="222"/>
      <c r="O71" s="206"/>
      <c r="P71" s="207" t="str">
        <f aca="false">IF(ISTEXT(H71),"",(B71*$B$7/100)+(C71*$C$7/100))</f>
        <v/>
      </c>
      <c r="Q71" s="208" t="str">
        <f aca="false">IF(OR(ISTEXT(H71),P71=0),"",IF(P71&lt;0.1,1,IF(P71&lt;1,2,IF(P71&lt;10,3,IF(P71&lt;50,4,IF(P71&gt;=50,5,""))))))</f>
        <v/>
      </c>
      <c r="R71" s="208" t="n">
        <f aca="false">IF(ISERROR(Q71*I71),0,Q71*I71)</f>
        <v>0</v>
      </c>
      <c r="S71" s="208" t="n">
        <f aca="false">IF(ISERROR(Q71*I71*J71),0,Q71*I71*J71)</f>
        <v>0</v>
      </c>
      <c r="T71" s="223" t="n">
        <f aca="false">IF(ISERROR(Q71*J71),0,Q71*J71)</f>
        <v>0</v>
      </c>
      <c r="U71" s="209" t="str">
        <f aca="false">IF(AND(A71="",F71=0),"",IF(F71=0,"Il manque le(s) % de rec. !",""))</f>
        <v/>
      </c>
      <c r="V71" s="210"/>
      <c r="X71" s="211" t="str">
        <f aca="false">IF(A71="new.cod","NEW.COD",IF(AND((Y71=""),ISTEXT(A71)),A71,IF(Y71="","",INDEX('[1]liste reference'!$A$7:$A$906,Y71))))</f>
        <v/>
      </c>
      <c r="Y71" s="9" t="str">
        <f aca="false">IF(ISERROR(MATCH(A71,'[1]liste reference'!$A$7:$A$906,0)),IF(ISERROR(MATCH(A71,'[1]liste reference'!$B$7:$B$906,0)),"",(MATCH(A71,'[1]liste reference'!$B$7:$B$906,0))),(MATCH(A71,'[1]liste reference'!$A$7:$A$906,0)))</f>
        <v/>
      </c>
      <c r="Z71" s="212"/>
      <c r="AA71" s="213"/>
      <c r="BB71" s="9" t="str">
        <f aca="false">IF(A71="","",1)</f>
        <v/>
      </c>
    </row>
    <row r="72" customFormat="false" ht="12.75" hidden="false" customHeight="false" outlineLevel="0" collapsed="false">
      <c r="A72" s="214"/>
      <c r="B72" s="215"/>
      <c r="C72" s="216"/>
      <c r="D72" s="217" t="str">
        <f aca="false">IF(ISERROR(VLOOKUP($A72,'[1]liste reference'!$A$7:$D$906,2,0)),IF(ISERROR(VLOOKUP($A72,'[1]liste reference'!$B$7:$D$906,1,0)),"",VLOOKUP($A72,'[1]liste reference'!$B$7:$D$906,1,0)),VLOOKUP($A72,'[1]liste reference'!$A$7:$D$906,2,0))</f>
        <v/>
      </c>
      <c r="E72" s="217" t="n">
        <f aca="false">IF(D72="",0,VLOOKUP(D72,D$22:D70,1,0))</f>
        <v>0</v>
      </c>
      <c r="F72" s="227" t="n">
        <f aca="false">($B72*$B$7+$C72*$C$7)/100</f>
        <v>0</v>
      </c>
      <c r="G72" s="219" t="str">
        <f aca="false">IF(A72="","",IF(ISERROR(VLOOKUP($A72,'[1]liste reference'!$A$7:$P$906,13,0)),IF(ISERROR(VLOOKUP($A72,'[1]liste reference'!$B$7:$P$906,12,0)),"    -",VLOOKUP($A72,'[1]liste reference'!$B$7:$P$906,12,0)),VLOOKUP($A72,'[1]liste reference'!$A$7:$P$906,13,0)))</f>
        <v/>
      </c>
      <c r="H72" s="201" t="str">
        <f aca="false">IF(A72="","x",IF(ISERROR(VLOOKUP($A72,'[1]liste reference'!$A$7:$P$906,14,0)),IF(ISERROR(VLOOKUP($A72,'[1]liste reference'!$B$7:$P$906,13,0)),"x",VLOOKUP($A72,'[1]liste reference'!$B$7:$P$906,13,0)),VLOOKUP($A72,'[1]liste reference'!$A$7:$P$906,14,0)))</f>
        <v>x</v>
      </c>
      <c r="I72" s="220" t="str">
        <f aca="false">IF(ISNUMBER(H72),IF(ISERROR(VLOOKUP($A72,'[1]liste reference'!$A$7:$P$906,3,0)),IF(ISERROR(VLOOKUP($A72,'[1]liste reference'!$B$7:$P$906,2,0)),"",VLOOKUP($A72,'[1]liste reference'!$B$7:$P$906,2,0)),VLOOKUP($A72,'[1]liste reference'!$A$7:$P$906,3,0)),"")</f>
        <v/>
      </c>
      <c r="J72" s="203" t="str">
        <f aca="false">IF(ISNUMBER(H72),IF(ISERROR(VLOOKUP($A72,'[1]liste reference'!$A$7:$P$906,4,0)),IF(ISERROR(VLOOKUP($A72,'[1]liste reference'!$B$7:$P$906,3,0)),"",VLOOKUP($A72,'[1]liste reference'!$B$7:$P$906,3,0)),VLOOKUP($A72,'[1]liste reference'!$A$7:$P$906,4,0)),"")</f>
        <v/>
      </c>
      <c r="K72" s="221" t="str">
        <f aca="false">IF(A72="NEW.COD",AA72,IF(ISTEXT($E72),"DEJA SAISI !",IF(A72="","",IF(ISERROR(VLOOKUP($A72,'[1]liste reference'!$A$7:$D$906,2,0)),IF(ISERROR(VLOOKUP($A72,'[1]liste reference'!$B$7:$D$906,1,0)),"code non répertorié ou synonyme",VLOOKUP($A72,'[1]liste reference'!$B$7:$D$906,1,0)),VLOOKUP(A72,'[1]liste reference'!$A$7:$D$906,2,0)))))</f>
        <v/>
      </c>
      <c r="L72" s="222"/>
      <c r="M72" s="222"/>
      <c r="N72" s="222"/>
      <c r="O72" s="206"/>
      <c r="P72" s="207" t="str">
        <f aca="false">IF(ISTEXT(H72),"",(B72*$B$7/100)+(C72*$C$7/100))</f>
        <v/>
      </c>
      <c r="Q72" s="208" t="str">
        <f aca="false">IF(OR(ISTEXT(H72),P72=0),"",IF(P72&lt;0.1,1,IF(P72&lt;1,2,IF(P72&lt;10,3,IF(P72&lt;50,4,IF(P72&gt;=50,5,""))))))</f>
        <v/>
      </c>
      <c r="R72" s="208" t="n">
        <f aca="false">IF(ISERROR(Q72*I72),0,Q72*I72)</f>
        <v>0</v>
      </c>
      <c r="S72" s="208" t="n">
        <f aca="false">IF(ISERROR(Q72*I72*J72),0,Q72*I72*J72)</f>
        <v>0</v>
      </c>
      <c r="T72" s="223" t="n">
        <f aca="false">IF(ISERROR(Q72*J72),0,Q72*J72)</f>
        <v>0</v>
      </c>
      <c r="U72" s="209" t="str">
        <f aca="false">IF(AND(A72="",F72=0),"",IF(F72=0,"Il manque le(s) % de rec. !",""))</f>
        <v/>
      </c>
      <c r="V72" s="210"/>
      <c r="X72" s="211" t="str">
        <f aca="false">IF(A72="new.cod","NEW.COD",IF(AND((Y72=""),ISTEXT(A72)),A72,IF(Y72="","",INDEX('[1]liste reference'!$A$7:$A$906,Y72))))</f>
        <v/>
      </c>
      <c r="Y72" s="9" t="str">
        <f aca="false">IF(ISERROR(MATCH(A72,'[1]liste reference'!$A$7:$A$906,0)),IF(ISERROR(MATCH(A72,'[1]liste reference'!$B$7:$B$906,0)),"",(MATCH(A72,'[1]liste reference'!$B$7:$B$906,0))),(MATCH(A72,'[1]liste reference'!$A$7:$A$906,0)))</f>
        <v/>
      </c>
      <c r="Z72" s="212"/>
      <c r="AA72" s="213"/>
      <c r="BB72" s="9" t="str">
        <f aca="false">IF(A72="","",1)</f>
        <v/>
      </c>
    </row>
    <row r="73" customFormat="false" ht="12.75" hidden="false" customHeight="false" outlineLevel="0" collapsed="false">
      <c r="A73" s="214"/>
      <c r="B73" s="215"/>
      <c r="C73" s="216"/>
      <c r="D73" s="217" t="str">
        <f aca="false">IF(ISERROR(VLOOKUP($A73,'[1]liste reference'!$A$7:$D$906,2,0)),IF(ISERROR(VLOOKUP($A73,'[1]liste reference'!$B$7:$D$906,1,0)),"",VLOOKUP($A73,'[1]liste reference'!$B$7:$D$906,1,0)),VLOOKUP($A73,'[1]liste reference'!$A$7:$D$906,2,0))</f>
        <v/>
      </c>
      <c r="E73" s="217" t="n">
        <f aca="false">IF(D73="",0,VLOOKUP(D73,D$22:D70,1,0))</f>
        <v>0</v>
      </c>
      <c r="F73" s="227" t="n">
        <f aca="false">($B73*$B$7+$C73*$C$7)/100</f>
        <v>0</v>
      </c>
      <c r="G73" s="219" t="str">
        <f aca="false">IF(A73="","",IF(ISERROR(VLOOKUP($A73,'[1]liste reference'!$A$7:$P$906,13,0)),IF(ISERROR(VLOOKUP($A73,'[1]liste reference'!$B$7:$P$906,12,0)),"    -",VLOOKUP($A73,'[1]liste reference'!$B$7:$P$906,12,0)),VLOOKUP($A73,'[1]liste reference'!$A$7:$P$906,13,0)))</f>
        <v/>
      </c>
      <c r="H73" s="201" t="str">
        <f aca="false">IF(A73="","x",IF(ISERROR(VLOOKUP($A73,'[1]liste reference'!$A$7:$P$906,14,0)),IF(ISERROR(VLOOKUP($A73,'[1]liste reference'!$B$7:$P$906,13,0)),"x",VLOOKUP($A73,'[1]liste reference'!$B$7:$P$906,13,0)),VLOOKUP($A73,'[1]liste reference'!$A$7:$P$906,14,0)))</f>
        <v>x</v>
      </c>
      <c r="I73" s="220" t="str">
        <f aca="false">IF(ISNUMBER(H73),IF(ISERROR(VLOOKUP($A73,'[1]liste reference'!$A$7:$P$906,3,0)),IF(ISERROR(VLOOKUP($A73,'[1]liste reference'!$B$7:$P$906,2,0)),"",VLOOKUP($A73,'[1]liste reference'!$B$7:$P$906,2,0)),VLOOKUP($A73,'[1]liste reference'!$A$7:$P$906,3,0)),"")</f>
        <v/>
      </c>
      <c r="J73" s="203" t="str">
        <f aca="false">IF(ISNUMBER(H73),IF(ISERROR(VLOOKUP($A73,'[1]liste reference'!$A$7:$P$906,4,0)),IF(ISERROR(VLOOKUP($A73,'[1]liste reference'!$B$7:$P$906,3,0)),"",VLOOKUP($A73,'[1]liste reference'!$B$7:$P$906,3,0)),VLOOKUP($A73,'[1]liste reference'!$A$7:$P$906,4,0)),"")</f>
        <v/>
      </c>
      <c r="K73" s="221" t="str">
        <f aca="false">IF(A73="NEW.COD",AA73,IF(ISTEXT($E73),"DEJA SAISI !",IF(A73="","",IF(ISERROR(VLOOKUP($A73,'[1]liste reference'!$A$7:$D$906,2,0)),IF(ISERROR(VLOOKUP($A73,'[1]liste reference'!$B$7:$D$906,1,0)),"code non répertorié ou synonyme",VLOOKUP($A73,'[1]liste reference'!$B$7:$D$906,1,0)),VLOOKUP(A73,'[1]liste reference'!$A$7:$D$906,2,0)))))</f>
        <v/>
      </c>
      <c r="L73" s="222"/>
      <c r="M73" s="222"/>
      <c r="N73" s="222"/>
      <c r="O73" s="206"/>
      <c r="P73" s="207" t="str">
        <f aca="false">IF(ISTEXT(H73),"",(B73*$B$7/100)+(C73*$C$7/100))</f>
        <v/>
      </c>
      <c r="Q73" s="208" t="str">
        <f aca="false">IF(OR(ISTEXT(H73),P73=0),"",IF(P73&lt;0.1,1,IF(P73&lt;1,2,IF(P73&lt;10,3,IF(P73&lt;50,4,IF(P73&gt;=50,5,""))))))</f>
        <v/>
      </c>
      <c r="R73" s="208" t="n">
        <f aca="false">IF(ISERROR(Q73*I73),0,Q73*I73)</f>
        <v>0</v>
      </c>
      <c r="S73" s="208" t="n">
        <f aca="false">IF(ISERROR(Q73*I73*J73),0,Q73*I73*J73)</f>
        <v>0</v>
      </c>
      <c r="T73" s="223" t="n">
        <f aca="false">IF(ISERROR(Q73*J73),0,Q73*J73)</f>
        <v>0</v>
      </c>
      <c r="U73" s="209" t="str">
        <f aca="false">IF(AND(A73="",F73=0),"",IF(F73=0,"Il manque le(s) % de rec. !",""))</f>
        <v/>
      </c>
      <c r="V73" s="210"/>
      <c r="X73" s="211" t="str">
        <f aca="false">IF(A73="new.cod","NEW.COD",IF(AND((Y73=""),ISTEXT(A73)),A73,IF(Y73="","",INDEX('[1]liste reference'!$A$7:$A$906,Y73))))</f>
        <v/>
      </c>
      <c r="Y73" s="9" t="str">
        <f aca="false">IF(ISERROR(MATCH(A73,'[1]liste reference'!$A$7:$A$906,0)),IF(ISERROR(MATCH(A73,'[1]liste reference'!$B$7:$B$906,0)),"",(MATCH(A73,'[1]liste reference'!$B$7:$B$906,0))),(MATCH(A73,'[1]liste reference'!$A$7:$A$906,0)))</f>
        <v/>
      </c>
      <c r="Z73" s="212"/>
      <c r="AA73" s="213"/>
      <c r="BB73" s="9" t="str">
        <f aca="false">IF(A73="","",1)</f>
        <v/>
      </c>
    </row>
    <row r="74" customFormat="false" ht="12.75" hidden="false" customHeight="false" outlineLevel="0" collapsed="false">
      <c r="A74" s="214"/>
      <c r="B74" s="215"/>
      <c r="C74" s="216"/>
      <c r="D74" s="217" t="str">
        <f aca="false">IF(ISERROR(VLOOKUP($A74,'[1]liste reference'!$A$7:$D$906,2,0)),IF(ISERROR(VLOOKUP($A74,'[1]liste reference'!$B$7:$D$906,1,0)),"",VLOOKUP($A74,'[1]liste reference'!$B$7:$D$906,1,0)),VLOOKUP($A74,'[1]liste reference'!$A$7:$D$906,2,0))</f>
        <v/>
      </c>
      <c r="E74" s="217" t="n">
        <f aca="false">IF(D74="",0,VLOOKUP(D74,D$22:D70,1,0))</f>
        <v>0</v>
      </c>
      <c r="F74" s="227" t="n">
        <f aca="false">($B74*$B$7+$C74*$C$7)/100</f>
        <v>0</v>
      </c>
      <c r="G74" s="219" t="str">
        <f aca="false">IF(A74="","",IF(ISERROR(VLOOKUP($A74,'[1]liste reference'!$A$7:$P$906,13,0)),IF(ISERROR(VLOOKUP($A74,'[1]liste reference'!$B$7:$P$906,12,0)),"    -",VLOOKUP($A74,'[1]liste reference'!$B$7:$P$906,12,0)),VLOOKUP($A74,'[1]liste reference'!$A$7:$P$906,13,0)))</f>
        <v/>
      </c>
      <c r="H74" s="201" t="str">
        <f aca="false">IF(A74="","x",IF(ISERROR(VLOOKUP($A74,'[1]liste reference'!$A$7:$P$906,14,0)),IF(ISERROR(VLOOKUP($A74,'[1]liste reference'!$B$7:$P$906,13,0)),"x",VLOOKUP($A74,'[1]liste reference'!$B$7:$P$906,13,0)),VLOOKUP($A74,'[1]liste reference'!$A$7:$P$906,14,0)))</f>
        <v>x</v>
      </c>
      <c r="I74" s="220" t="str">
        <f aca="false">IF(ISNUMBER(H74),IF(ISERROR(VLOOKUP($A74,'[1]liste reference'!$A$7:$P$906,3,0)),IF(ISERROR(VLOOKUP($A74,'[1]liste reference'!$B$7:$P$906,2,0)),"",VLOOKUP($A74,'[1]liste reference'!$B$7:$P$906,2,0)),VLOOKUP($A74,'[1]liste reference'!$A$7:$P$906,3,0)),"")</f>
        <v/>
      </c>
      <c r="J74" s="203" t="str">
        <f aca="false">IF(ISNUMBER(H74),IF(ISERROR(VLOOKUP($A74,'[1]liste reference'!$A$7:$P$906,4,0)),IF(ISERROR(VLOOKUP($A74,'[1]liste reference'!$B$7:$P$906,3,0)),"",VLOOKUP($A74,'[1]liste reference'!$B$7:$P$906,3,0)),VLOOKUP($A74,'[1]liste reference'!$A$7:$P$906,4,0)),"")</f>
        <v/>
      </c>
      <c r="K74" s="221" t="str">
        <f aca="false">IF(A74="NEW.COD",AA74,IF(ISTEXT($E74),"DEJA SAISI !",IF(A74="","",IF(ISERROR(VLOOKUP($A74,'[1]liste reference'!$A$7:$D$906,2,0)),IF(ISERROR(VLOOKUP($A74,'[1]liste reference'!$B$7:$D$906,1,0)),"code non répertorié ou synonyme",VLOOKUP($A74,'[1]liste reference'!$B$7:$D$906,1,0)),VLOOKUP(A74,'[1]liste reference'!$A$7:$D$906,2,0)))))</f>
        <v/>
      </c>
      <c r="L74" s="222"/>
      <c r="M74" s="222"/>
      <c r="N74" s="222"/>
      <c r="O74" s="206"/>
      <c r="P74" s="207" t="str">
        <f aca="false">IF(ISTEXT(H74),"",(B74*$B$7/100)+(C74*$C$7/100))</f>
        <v/>
      </c>
      <c r="Q74" s="208" t="str">
        <f aca="false">IF(OR(ISTEXT(H74),P74=0),"",IF(P74&lt;0.1,1,IF(P74&lt;1,2,IF(P74&lt;10,3,IF(P74&lt;50,4,IF(P74&gt;=50,5,""))))))</f>
        <v/>
      </c>
      <c r="R74" s="208" t="n">
        <f aca="false">IF(ISERROR(Q74*I74),0,Q74*I74)</f>
        <v>0</v>
      </c>
      <c r="S74" s="208" t="n">
        <f aca="false">IF(ISERROR(Q74*I74*J74),0,Q74*I74*J74)</f>
        <v>0</v>
      </c>
      <c r="T74" s="223" t="n">
        <f aca="false">IF(ISERROR(Q74*J74),0,Q74*J74)</f>
        <v>0</v>
      </c>
      <c r="U74" s="209" t="str">
        <f aca="false">IF(AND(A74="",F74=0),"",IF(F74=0,"Il manque le(s) % de rec. !",""))</f>
        <v/>
      </c>
      <c r="V74" s="210"/>
      <c r="X74" s="211" t="str">
        <f aca="false">IF(A74="new.cod","NEW.COD",IF(AND((Y74=""),ISTEXT(A74)),A74,IF(Y74="","",INDEX('[1]liste reference'!$A$7:$A$906,Y74))))</f>
        <v/>
      </c>
      <c r="Y74" s="9" t="str">
        <f aca="false">IF(ISERROR(MATCH(A74,'[1]liste reference'!$A$7:$A$906,0)),IF(ISERROR(MATCH(A74,'[1]liste reference'!$B$7:$B$906,0)),"",(MATCH(A74,'[1]liste reference'!$B$7:$B$906,0))),(MATCH(A74,'[1]liste reference'!$A$7:$A$906,0)))</f>
        <v/>
      </c>
      <c r="Z74" s="212"/>
      <c r="AA74" s="213"/>
      <c r="BB74" s="9" t="str">
        <f aca="false">IF(A74="","",1)</f>
        <v/>
      </c>
    </row>
    <row r="75" customFormat="false" ht="12.75" hidden="false" customHeight="false" outlineLevel="0" collapsed="false">
      <c r="A75" s="214"/>
      <c r="B75" s="215"/>
      <c r="C75" s="216"/>
      <c r="D75" s="217" t="str">
        <f aca="false">IF(ISERROR(VLOOKUP($A75,'[1]liste reference'!$A$7:$D$906,2,0)),IF(ISERROR(VLOOKUP($A75,'[1]liste reference'!$B$7:$D$906,1,0)),"",VLOOKUP($A75,'[1]liste reference'!$B$7:$D$906,1,0)),VLOOKUP($A75,'[1]liste reference'!$A$7:$D$906,2,0))</f>
        <v/>
      </c>
      <c r="E75" s="217" t="n">
        <f aca="false">IF(D75="",0,VLOOKUP(D75,D$22:D60,1,0))</f>
        <v>0</v>
      </c>
      <c r="F75" s="227" t="n">
        <f aca="false">($B75*$B$7+$C75*$C$7)/100</f>
        <v>0</v>
      </c>
      <c r="G75" s="219" t="str">
        <f aca="false">IF(A75="","",IF(ISERROR(VLOOKUP($A75,'[1]liste reference'!$A$7:$P$906,13,0)),IF(ISERROR(VLOOKUP($A75,'[1]liste reference'!$B$7:$P$906,12,0)),"    -",VLOOKUP($A75,'[1]liste reference'!$B$7:$P$906,12,0)),VLOOKUP($A75,'[1]liste reference'!$A$7:$P$906,13,0)))</f>
        <v/>
      </c>
      <c r="H75" s="201" t="str">
        <f aca="false">IF(A75="","x",IF(ISERROR(VLOOKUP($A75,'[1]liste reference'!$A$7:$P$906,14,0)),IF(ISERROR(VLOOKUP($A75,'[1]liste reference'!$B$7:$P$906,13,0)),"x",VLOOKUP($A75,'[1]liste reference'!$B$7:$P$906,13,0)),VLOOKUP($A75,'[1]liste reference'!$A$7:$P$906,14,0)))</f>
        <v>x</v>
      </c>
      <c r="I75" s="220" t="str">
        <f aca="false">IF(ISNUMBER(H75),IF(ISERROR(VLOOKUP($A75,'[1]liste reference'!$A$7:$P$906,3,0)),IF(ISERROR(VLOOKUP($A75,'[1]liste reference'!$B$7:$P$906,2,0)),"",VLOOKUP($A75,'[1]liste reference'!$B$7:$P$906,2,0)),VLOOKUP($A75,'[1]liste reference'!$A$7:$P$906,3,0)),"")</f>
        <v/>
      </c>
      <c r="J75" s="203" t="str">
        <f aca="false">IF(ISNUMBER(H75),IF(ISERROR(VLOOKUP($A75,'[1]liste reference'!$A$7:$P$906,4,0)),IF(ISERROR(VLOOKUP($A75,'[1]liste reference'!$B$7:$P$906,3,0)),"",VLOOKUP($A75,'[1]liste reference'!$B$7:$P$906,3,0)),VLOOKUP($A75,'[1]liste reference'!$A$7:$P$906,4,0)),"")</f>
        <v/>
      </c>
      <c r="K75" s="221" t="str">
        <f aca="false">IF(A75="NEW.COD",AA75,IF(ISTEXT($E75),"DEJA SAISI !",IF(A75="","",IF(ISERROR(VLOOKUP($A75,'[1]liste reference'!$A$7:$D$906,2,0)),IF(ISERROR(VLOOKUP($A75,'[1]liste reference'!$B$7:$D$906,1,0)),"code non répertorié ou synonyme",VLOOKUP($A75,'[1]liste reference'!$B$7:$D$906,1,0)),VLOOKUP(A75,'[1]liste reference'!$A$7:$D$906,2,0)))))</f>
        <v/>
      </c>
      <c r="L75" s="222"/>
      <c r="M75" s="222"/>
      <c r="N75" s="222"/>
      <c r="O75" s="206"/>
      <c r="P75" s="207" t="str">
        <f aca="false">IF(ISTEXT(H75),"",(B75*$B$7/100)+(C75*$C$7/100))</f>
        <v/>
      </c>
      <c r="Q75" s="208" t="str">
        <f aca="false">IF(OR(ISTEXT(H75),P75=0),"",IF(P75&lt;0.1,1,IF(P75&lt;1,2,IF(P75&lt;10,3,IF(P75&lt;50,4,IF(P75&gt;=50,5,""))))))</f>
        <v/>
      </c>
      <c r="R75" s="208" t="n">
        <f aca="false">IF(ISERROR(Q75*I75),0,Q75*I75)</f>
        <v>0</v>
      </c>
      <c r="S75" s="208" t="n">
        <f aca="false">IF(ISERROR(Q75*I75*J75),0,Q75*I75*J75)</f>
        <v>0</v>
      </c>
      <c r="T75" s="223" t="n">
        <f aca="false">IF(ISERROR(Q75*J75),0,Q75*J75)</f>
        <v>0</v>
      </c>
      <c r="U75" s="209" t="str">
        <f aca="false">IF(AND(A75="",F75=0),"",IF(F75=0,"Il manque le(s) % de rec. !",""))</f>
        <v/>
      </c>
      <c r="V75" s="210"/>
      <c r="X75" s="211" t="str">
        <f aca="false">IF(A75="new.cod","NEW.COD",IF(AND((Y75=""),ISTEXT(A75)),A75,IF(Y75="","",INDEX('[1]liste reference'!$A$7:$A$906,Y75))))</f>
        <v/>
      </c>
      <c r="Y75" s="9" t="str">
        <f aca="false">IF(ISERROR(MATCH(A75,'[1]liste reference'!$A$7:$A$906,0)),IF(ISERROR(MATCH(A75,'[1]liste reference'!$B$7:$B$906,0)),"",(MATCH(A75,'[1]liste reference'!$B$7:$B$906,0))),(MATCH(A75,'[1]liste reference'!$A$7:$A$906,0)))</f>
        <v/>
      </c>
      <c r="Z75" s="212"/>
      <c r="AA75" s="213"/>
      <c r="BB75" s="9" t="str">
        <f aca="false">IF(A75="","",1)</f>
        <v/>
      </c>
    </row>
    <row r="76" customFormat="false" ht="12.75" hidden="false" customHeight="false" outlineLevel="0" collapsed="false">
      <c r="A76" s="214"/>
      <c r="B76" s="215"/>
      <c r="C76" s="216"/>
      <c r="D76" s="217" t="str">
        <f aca="false">IF(ISERROR(VLOOKUP($A76,'[1]liste reference'!$A$7:$D$906,2,0)),IF(ISERROR(VLOOKUP($A76,'[1]liste reference'!$B$7:$D$906,1,0)),"",VLOOKUP($A76,'[1]liste reference'!$B$7:$D$906,1,0)),VLOOKUP($A76,'[1]liste reference'!$A$7:$D$906,2,0))</f>
        <v/>
      </c>
      <c r="E76" s="217" t="n">
        <f aca="false">IF(D76="",0,VLOOKUP(D76,D$22:D61,1,0))</f>
        <v>0</v>
      </c>
      <c r="F76" s="227" t="n">
        <f aca="false">($B76*$B$7+$C76*$C$7)/100</f>
        <v>0</v>
      </c>
      <c r="G76" s="219" t="str">
        <f aca="false">IF(A76="","",IF(ISERROR(VLOOKUP($A76,'[1]liste reference'!$A$7:$P$906,13,0)),IF(ISERROR(VLOOKUP($A76,'[1]liste reference'!$B$7:$P$906,12,0)),"    -",VLOOKUP($A76,'[1]liste reference'!$B$7:$P$906,12,0)),VLOOKUP($A76,'[1]liste reference'!$A$7:$P$906,13,0)))</f>
        <v/>
      </c>
      <c r="H76" s="201" t="str">
        <f aca="false">IF(A76="","x",IF(ISERROR(VLOOKUP($A76,'[1]liste reference'!$A$7:$P$906,14,0)),IF(ISERROR(VLOOKUP($A76,'[1]liste reference'!$B$7:$P$906,13,0)),"x",VLOOKUP($A76,'[1]liste reference'!$B$7:$P$906,13,0)),VLOOKUP($A76,'[1]liste reference'!$A$7:$P$906,14,0)))</f>
        <v>x</v>
      </c>
      <c r="I76" s="220" t="str">
        <f aca="false">IF(ISNUMBER(H76),IF(ISERROR(VLOOKUP($A76,'[1]liste reference'!$A$7:$P$906,3,0)),IF(ISERROR(VLOOKUP($A76,'[1]liste reference'!$B$7:$P$906,2,0)),"",VLOOKUP($A76,'[1]liste reference'!$B$7:$P$906,2,0)),VLOOKUP($A76,'[1]liste reference'!$A$7:$P$906,3,0)),"")</f>
        <v/>
      </c>
      <c r="J76" s="203" t="str">
        <f aca="false">IF(ISNUMBER(H76),IF(ISERROR(VLOOKUP($A76,'[1]liste reference'!$A$7:$P$906,4,0)),IF(ISERROR(VLOOKUP($A76,'[1]liste reference'!$B$7:$P$906,3,0)),"",VLOOKUP($A76,'[1]liste reference'!$B$7:$P$906,3,0)),VLOOKUP($A76,'[1]liste reference'!$A$7:$P$906,4,0)),"")</f>
        <v/>
      </c>
      <c r="K76" s="221" t="str">
        <f aca="false">IF(A76="NEW.COD",AA76,IF(ISTEXT($E76),"DEJA SAISI !",IF(A76="","",IF(ISERROR(VLOOKUP($A76,'[1]liste reference'!$A$7:$D$906,2,0)),IF(ISERROR(VLOOKUP($A76,'[1]liste reference'!$B$7:$D$906,1,0)),"code non répertorié ou synonyme",VLOOKUP($A76,'[1]liste reference'!$B$7:$D$906,1,0)),VLOOKUP(A76,'[1]liste reference'!$A$7:$D$906,2,0)))))</f>
        <v/>
      </c>
      <c r="L76" s="222"/>
      <c r="M76" s="222"/>
      <c r="N76" s="222"/>
      <c r="O76" s="206"/>
      <c r="P76" s="207" t="str">
        <f aca="false">IF(ISTEXT(H76),"",(B76*$B$7/100)+(C76*$C$7/100))</f>
        <v/>
      </c>
      <c r="Q76" s="208" t="str">
        <f aca="false">IF(OR(ISTEXT(H76),P76=0),"",IF(P76&lt;0.1,1,IF(P76&lt;1,2,IF(P76&lt;10,3,IF(P76&lt;50,4,IF(P76&gt;=50,5,""))))))</f>
        <v/>
      </c>
      <c r="R76" s="208" t="n">
        <f aca="false">IF(ISERROR(Q76*I76),0,Q76*I76)</f>
        <v>0</v>
      </c>
      <c r="S76" s="208" t="n">
        <f aca="false">IF(ISERROR(Q76*I76*J76),0,Q76*I76*J76)</f>
        <v>0</v>
      </c>
      <c r="T76" s="223" t="n">
        <f aca="false">IF(ISERROR(Q76*J76),0,Q76*J76)</f>
        <v>0</v>
      </c>
      <c r="U76" s="209" t="str">
        <f aca="false">IF(AND(A76="",F76=0),"",IF(F76=0,"Il manque le(s) % de rec. !",""))</f>
        <v/>
      </c>
      <c r="V76" s="210"/>
      <c r="X76" s="211" t="str">
        <f aca="false">IF(A76="new.cod","NEW.COD",IF(AND((Y76=""),ISTEXT(A76)),A76,IF(Y76="","",INDEX('[1]liste reference'!$A$7:$A$906,Y76))))</f>
        <v/>
      </c>
      <c r="Y76" s="9" t="str">
        <f aca="false">IF(ISERROR(MATCH(A76,'[1]liste reference'!$A$7:$A$906,0)),IF(ISERROR(MATCH(A76,'[1]liste reference'!$B$7:$B$906,0)),"",(MATCH(A76,'[1]liste reference'!$B$7:$B$906,0))),(MATCH(A76,'[1]liste reference'!$A$7:$A$906,0)))</f>
        <v/>
      </c>
      <c r="Z76" s="212"/>
      <c r="AA76" s="213"/>
      <c r="BB76" s="9" t="str">
        <f aca="false">IF(A76="","",1)</f>
        <v/>
      </c>
    </row>
    <row r="77" customFormat="false" ht="12.75" hidden="false" customHeight="false" outlineLevel="0" collapsed="false">
      <c r="A77" s="214"/>
      <c r="B77" s="215"/>
      <c r="C77" s="216"/>
      <c r="D77" s="217" t="str">
        <f aca="false">IF(ISERROR(VLOOKUP($A77,'[1]liste reference'!$A$7:$D$906,2,0)),IF(ISERROR(VLOOKUP($A77,'[1]liste reference'!$B$7:$D$906,1,0)),"",VLOOKUP($A77,'[1]liste reference'!$B$7:$D$906,1,0)),VLOOKUP($A77,'[1]liste reference'!$A$7:$D$906,2,0))</f>
        <v/>
      </c>
      <c r="E77" s="217" t="n">
        <f aca="false">IF(D77="",0,VLOOKUP(D77,D$22:D61,1,0))</f>
        <v>0</v>
      </c>
      <c r="F77" s="227" t="n">
        <f aca="false">($B77*$B$7+$C77*$C$7)/100</f>
        <v>0</v>
      </c>
      <c r="G77" s="219" t="str">
        <f aca="false">IF(A77="","",IF(ISERROR(VLOOKUP($A77,'[1]liste reference'!$A$7:$P$906,13,0)),IF(ISERROR(VLOOKUP($A77,'[1]liste reference'!$B$7:$P$906,12,0)),"    -",VLOOKUP($A77,'[1]liste reference'!$B$7:$P$906,12,0)),VLOOKUP($A77,'[1]liste reference'!$A$7:$P$906,13,0)))</f>
        <v/>
      </c>
      <c r="H77" s="201" t="str">
        <f aca="false">IF(A77="","x",IF(ISERROR(VLOOKUP($A77,'[1]liste reference'!$A$7:$P$906,14,0)),IF(ISERROR(VLOOKUP($A77,'[1]liste reference'!$B$7:$P$906,13,0)),"x",VLOOKUP($A77,'[1]liste reference'!$B$7:$P$906,13,0)),VLOOKUP($A77,'[1]liste reference'!$A$7:$P$906,14,0)))</f>
        <v>x</v>
      </c>
      <c r="I77" s="220" t="str">
        <f aca="false">IF(ISNUMBER(H77),IF(ISERROR(VLOOKUP($A77,'[1]liste reference'!$A$7:$P$906,3,0)),IF(ISERROR(VLOOKUP($A77,'[1]liste reference'!$B$7:$P$906,2,0)),"",VLOOKUP($A77,'[1]liste reference'!$B$7:$P$906,2,0)),VLOOKUP($A77,'[1]liste reference'!$A$7:$P$906,3,0)),"")</f>
        <v/>
      </c>
      <c r="J77" s="203" t="str">
        <f aca="false">IF(ISNUMBER(H77),IF(ISERROR(VLOOKUP($A77,'[1]liste reference'!$A$7:$P$906,4,0)),IF(ISERROR(VLOOKUP($A77,'[1]liste reference'!$B$7:$P$906,3,0)),"",VLOOKUP($A77,'[1]liste reference'!$B$7:$P$906,3,0)),VLOOKUP($A77,'[1]liste reference'!$A$7:$P$906,4,0)),"")</f>
        <v/>
      </c>
      <c r="K77" s="221" t="str">
        <f aca="false">IF(A77="NEW.COD",AA77,IF(ISTEXT($E77),"DEJA SAISI !",IF(A77="","",IF(ISERROR(VLOOKUP($A77,'[1]liste reference'!$A$7:$D$906,2,0)),IF(ISERROR(VLOOKUP($A77,'[1]liste reference'!$B$7:$D$906,1,0)),"code non répertorié ou synonyme",VLOOKUP($A77,'[1]liste reference'!$B$7:$D$906,1,0)),VLOOKUP(A77,'[1]liste reference'!$A$7:$D$906,2,0)))))</f>
        <v/>
      </c>
      <c r="L77" s="222"/>
      <c r="M77" s="222"/>
      <c r="N77" s="222"/>
      <c r="O77" s="206"/>
      <c r="P77" s="207" t="str">
        <f aca="false">IF(ISTEXT(H77),"",(B77*$B$7/100)+(C77*$C$7/100))</f>
        <v/>
      </c>
      <c r="Q77" s="208" t="str">
        <f aca="false">IF(OR(ISTEXT(H77),P77=0),"",IF(P77&lt;0.1,1,IF(P77&lt;1,2,IF(P77&lt;10,3,IF(P77&lt;50,4,IF(P77&gt;=50,5,""))))))</f>
        <v/>
      </c>
      <c r="R77" s="208" t="n">
        <f aca="false">IF(ISERROR(Q77*I77),0,Q77*I77)</f>
        <v>0</v>
      </c>
      <c r="S77" s="208" t="n">
        <f aca="false">IF(ISERROR(Q77*I77*J77),0,Q77*I77*J77)</f>
        <v>0</v>
      </c>
      <c r="T77" s="223" t="n">
        <f aca="false">IF(ISERROR(Q77*J77),0,Q77*J77)</f>
        <v>0</v>
      </c>
      <c r="U77" s="209" t="str">
        <f aca="false">IF(AND(A77="",F77=0),"",IF(F77=0,"Il manque le(s) % de rec. !",""))</f>
        <v/>
      </c>
      <c r="V77" s="210"/>
      <c r="X77" s="211" t="str">
        <f aca="false">IF(A77="new.cod","NEW.COD",IF(AND((Y77=""),ISTEXT(A77)),A77,IF(Y77="","",INDEX('[1]liste reference'!$A$7:$A$906,Y77))))</f>
        <v/>
      </c>
      <c r="Y77" s="9" t="str">
        <f aca="false">IF(ISERROR(MATCH(A77,'[1]liste reference'!$A$7:$A$906,0)),IF(ISERROR(MATCH(A77,'[1]liste reference'!$B$7:$B$906,0)),"",(MATCH(A77,'[1]liste reference'!$B$7:$B$906,0))),(MATCH(A77,'[1]liste reference'!$A$7:$A$906,0)))</f>
        <v/>
      </c>
      <c r="Z77" s="212"/>
      <c r="AA77" s="213"/>
      <c r="BB77" s="9" t="str">
        <f aca="false">IF(A77="","",1)</f>
        <v/>
      </c>
    </row>
    <row r="78" customFormat="false" ht="12.75" hidden="false" customHeight="false" outlineLevel="0" collapsed="false">
      <c r="A78" s="214"/>
      <c r="B78" s="215"/>
      <c r="C78" s="216"/>
      <c r="D78" s="217" t="str">
        <f aca="false">IF(ISERROR(VLOOKUP($A78,'[1]liste reference'!$A$7:$D$906,2,0)),IF(ISERROR(VLOOKUP($A78,'[1]liste reference'!$B$7:$D$906,1,0)),"",VLOOKUP($A78,'[1]liste reference'!$B$7:$D$906,1,0)),VLOOKUP($A78,'[1]liste reference'!$A$7:$D$906,2,0))</f>
        <v/>
      </c>
      <c r="E78" s="217" t="n">
        <f aca="false">IF(D78="",0,VLOOKUP(D78,D$22:D77,1,0))</f>
        <v>0</v>
      </c>
      <c r="F78" s="227" t="n">
        <f aca="false">($B78*$B$7+$C78*$C$7)/100</f>
        <v>0</v>
      </c>
      <c r="G78" s="219" t="str">
        <f aca="false">IF(A78="","",IF(ISERROR(VLOOKUP($A78,'[1]liste reference'!$A$7:$P$906,13,0)),IF(ISERROR(VLOOKUP($A78,'[1]liste reference'!$B$7:$P$906,12,0)),"    -",VLOOKUP($A78,'[1]liste reference'!$B$7:$P$906,12,0)),VLOOKUP($A78,'[1]liste reference'!$A$7:$P$906,13,0)))</f>
        <v/>
      </c>
      <c r="H78" s="201" t="str">
        <f aca="false">IF(A78="","x",IF(ISERROR(VLOOKUP($A78,'[1]liste reference'!$A$7:$P$906,14,0)),IF(ISERROR(VLOOKUP($A78,'[1]liste reference'!$B$7:$P$906,13,0)),"x",VLOOKUP($A78,'[1]liste reference'!$B$7:$P$906,13,0)),VLOOKUP($A78,'[1]liste reference'!$A$7:$P$906,14,0)))</f>
        <v>x</v>
      </c>
      <c r="I78" s="220" t="str">
        <f aca="false">IF(ISNUMBER(H78),IF(ISERROR(VLOOKUP($A78,'[1]liste reference'!$A$7:$P$906,3,0)),IF(ISERROR(VLOOKUP($A78,'[1]liste reference'!$B$7:$P$906,2,0)),"",VLOOKUP($A78,'[1]liste reference'!$B$7:$P$906,2,0)),VLOOKUP($A78,'[1]liste reference'!$A$7:$P$906,3,0)),"")</f>
        <v/>
      </c>
      <c r="J78" s="203" t="str">
        <f aca="false">IF(ISNUMBER(H78),IF(ISERROR(VLOOKUP($A78,'[1]liste reference'!$A$7:$P$906,4,0)),IF(ISERROR(VLOOKUP($A78,'[1]liste reference'!$B$7:$P$906,3,0)),"",VLOOKUP($A78,'[1]liste reference'!$B$7:$P$906,3,0)),VLOOKUP($A78,'[1]liste reference'!$A$7:$P$906,4,0)),"")</f>
        <v/>
      </c>
      <c r="K78" s="221" t="str">
        <f aca="false">IF(A78="NEW.COD",AA78,IF(ISTEXT($E78),"DEJA SAISI !",IF(A78="","",IF(ISERROR(VLOOKUP($A78,'[1]liste reference'!$A$7:$D$906,2,0)),IF(ISERROR(VLOOKUP($A78,'[1]liste reference'!$B$7:$D$906,1,0)),"code non répertorié ou synonyme",VLOOKUP($A78,'[1]liste reference'!$B$7:$D$906,1,0)),VLOOKUP(A78,'[1]liste reference'!$A$7:$D$906,2,0)))))</f>
        <v/>
      </c>
      <c r="L78" s="222"/>
      <c r="M78" s="222"/>
      <c r="N78" s="222"/>
      <c r="O78" s="206"/>
      <c r="P78" s="207" t="str">
        <f aca="false">IF(ISTEXT(H78),"",(B78*$B$7/100)+(C78*$C$7/100))</f>
        <v/>
      </c>
      <c r="Q78" s="208" t="str">
        <f aca="false">IF(OR(ISTEXT(H78),P78=0),"",IF(P78&lt;0.1,1,IF(P78&lt;1,2,IF(P78&lt;10,3,IF(P78&lt;50,4,IF(P78&gt;=50,5,""))))))</f>
        <v/>
      </c>
      <c r="R78" s="208" t="n">
        <f aca="false">IF(ISERROR(Q78*I78),0,Q78*I78)</f>
        <v>0</v>
      </c>
      <c r="S78" s="208" t="n">
        <f aca="false">IF(ISERROR(Q78*I78*J78),0,Q78*I78*J78)</f>
        <v>0</v>
      </c>
      <c r="T78" s="223" t="n">
        <f aca="false">IF(ISERROR(Q78*J78),0,Q78*J78)</f>
        <v>0</v>
      </c>
      <c r="U78" s="209" t="str">
        <f aca="false">IF(AND(A78="",F78=0),"",IF(F78=0,"Il manque le(s) % de rec. !",""))</f>
        <v/>
      </c>
      <c r="V78" s="210"/>
      <c r="X78" s="211" t="str">
        <f aca="false">IF(A78="new.cod","NEW.COD",IF(AND((Y78=""),ISTEXT(A78)),A78,IF(Y78="","",INDEX('[1]liste reference'!$A$7:$A$906,Y78))))</f>
        <v/>
      </c>
      <c r="Y78" s="9" t="str">
        <f aca="false">IF(ISERROR(MATCH(A78,'[1]liste reference'!$A$7:$A$906,0)),IF(ISERROR(MATCH(A78,'[1]liste reference'!$B$7:$B$906,0)),"",(MATCH(A78,'[1]liste reference'!$B$7:$B$906,0))),(MATCH(A78,'[1]liste reference'!$A$7:$A$906,0)))</f>
        <v/>
      </c>
      <c r="Z78" s="212"/>
      <c r="AA78" s="213"/>
      <c r="BB78" s="9" t="str">
        <f aca="false">IF(A78="","",1)</f>
        <v/>
      </c>
    </row>
    <row r="79" customFormat="false" ht="12.75" hidden="false" customHeight="false" outlineLevel="0" collapsed="false">
      <c r="A79" s="214"/>
      <c r="B79" s="215"/>
      <c r="C79" s="216"/>
      <c r="D79" s="217" t="str">
        <f aca="false">IF(ISERROR(VLOOKUP($A79,'[1]liste reference'!$A$7:$D$906,2,0)),IF(ISERROR(VLOOKUP($A79,'[1]liste reference'!$B$7:$D$906,1,0)),"",VLOOKUP($A79,'[1]liste reference'!$B$7:$D$906,1,0)),VLOOKUP($A79,'[1]liste reference'!$A$7:$D$906,2,0))</f>
        <v/>
      </c>
      <c r="E79" s="217" t="n">
        <f aca="false">IF(D79="",0,VLOOKUP(D79,D$21:D78,1,0))</f>
        <v>0</v>
      </c>
      <c r="F79" s="227" t="n">
        <f aca="false">($B79*$B$7+$C79*$C$7)/100</f>
        <v>0</v>
      </c>
      <c r="G79" s="219" t="str">
        <f aca="false">IF(A79="","",IF(ISERROR(VLOOKUP($A79,'[1]liste reference'!$A$7:$P$906,13,0)),IF(ISERROR(VLOOKUP($A79,'[1]liste reference'!$B$7:$P$906,12,0)),"    -",VLOOKUP($A79,'[1]liste reference'!$B$7:$P$906,12,0)),VLOOKUP($A79,'[1]liste reference'!$A$7:$P$906,13,0)))</f>
        <v/>
      </c>
      <c r="H79" s="201" t="str">
        <f aca="false">IF(A79="","x",IF(ISERROR(VLOOKUP($A79,'[1]liste reference'!$A$7:$P$906,14,0)),IF(ISERROR(VLOOKUP($A79,'[1]liste reference'!$B$7:$P$906,13,0)),"x",VLOOKUP($A79,'[1]liste reference'!$B$7:$P$906,13,0)),VLOOKUP($A79,'[1]liste reference'!$A$7:$P$906,14,0)))</f>
        <v>x</v>
      </c>
      <c r="I79" s="220" t="str">
        <f aca="false">IF(ISNUMBER(H79),IF(ISERROR(VLOOKUP($A79,'[1]liste reference'!$A$7:$P$906,3,0)),IF(ISERROR(VLOOKUP($A79,'[1]liste reference'!$B$7:$P$906,2,0)),"",VLOOKUP($A79,'[1]liste reference'!$B$7:$P$906,2,0)),VLOOKUP($A79,'[1]liste reference'!$A$7:$P$906,3,0)),"")</f>
        <v/>
      </c>
      <c r="J79" s="203" t="str">
        <f aca="false">IF(ISNUMBER(H79),IF(ISERROR(VLOOKUP($A79,'[1]liste reference'!$A$7:$P$906,4,0)),IF(ISERROR(VLOOKUP($A79,'[1]liste reference'!$B$7:$P$906,3,0)),"",VLOOKUP($A79,'[1]liste reference'!$B$7:$P$906,3,0)),VLOOKUP($A79,'[1]liste reference'!$A$7:$P$906,4,0)),"")</f>
        <v/>
      </c>
      <c r="K79" s="221" t="str">
        <f aca="false">IF(A79="NEW.COD",AA79,IF(ISTEXT($E79),"DEJA SAISI !",IF(A79="","",IF(ISERROR(VLOOKUP($A79,'[1]liste reference'!$A$7:$D$906,2,0)),IF(ISERROR(VLOOKUP($A79,'[1]liste reference'!$B$7:$D$906,1,0)),"code non répertorié ou synonyme",VLOOKUP($A79,'[1]liste reference'!$B$7:$D$906,1,0)),VLOOKUP(A79,'[1]liste reference'!$A$7:$D$906,2,0)))))</f>
        <v/>
      </c>
      <c r="L79" s="225"/>
      <c r="M79" s="225"/>
      <c r="N79" s="225"/>
      <c r="O79" s="206"/>
      <c r="P79" s="207" t="str">
        <f aca="false">IF(ISTEXT(H79),"",(B79*$B$7/100)+(C79*$C$7/100))</f>
        <v/>
      </c>
      <c r="Q79" s="208" t="str">
        <f aca="false">IF(OR(ISTEXT(H79),P79=0),"",IF(P79&lt;0.1,1,IF(P79&lt;1,2,IF(P79&lt;10,3,IF(P79&lt;50,4,IF(P79&gt;=50,5,""))))))</f>
        <v/>
      </c>
      <c r="R79" s="208" t="n">
        <f aca="false">IF(ISERROR(Q79*I79),0,Q79*I79)</f>
        <v>0</v>
      </c>
      <c r="S79" s="208" t="n">
        <f aca="false">IF(ISERROR(Q79*I79*J79),0,Q79*I79*J79)</f>
        <v>0</v>
      </c>
      <c r="T79" s="223" t="n">
        <f aca="false">IF(ISERROR(Q79*J79),0,Q79*J79)</f>
        <v>0</v>
      </c>
      <c r="U79" s="209" t="str">
        <f aca="false">IF(AND(A79="",F79=0),"",IF(F79=0,"Il manque le(s) % de rec. !",""))</f>
        <v/>
      </c>
      <c r="V79" s="210"/>
      <c r="W79" s="229"/>
      <c r="X79" s="211" t="str">
        <f aca="false">IF(A79="new.cod","NEW.COD",IF(AND((Y79=""),ISTEXT(A79)),A79,IF(Y79="","",INDEX('[1]liste reference'!$A$7:$A$906,Y79))))</f>
        <v/>
      </c>
      <c r="Y79" s="9" t="str">
        <f aca="false">IF(ISERROR(MATCH(A79,'[1]liste reference'!$A$7:$A$906,0)),IF(ISERROR(MATCH(A79,'[1]liste reference'!$B$7:$B$906,0)),"",(MATCH(A79,'[1]liste reference'!$B$7:$B$906,0))),(MATCH(A79,'[1]liste reference'!$A$7:$A$906,0)))</f>
        <v/>
      </c>
      <c r="Z79" s="212"/>
      <c r="AA79" s="213"/>
      <c r="BB79" s="9" t="str">
        <f aca="false">IF(A79="","",1)</f>
        <v/>
      </c>
    </row>
    <row r="80" customFormat="false" ht="12.75" hidden="false" customHeight="false" outlineLevel="0" collapsed="false">
      <c r="A80" s="214"/>
      <c r="B80" s="215"/>
      <c r="C80" s="216"/>
      <c r="D80" s="217" t="str">
        <f aca="false">IF(ISERROR(VLOOKUP($A80,'[1]liste reference'!$A$7:$D$906,2,0)),IF(ISERROR(VLOOKUP($A80,'[1]liste reference'!$B$7:$D$906,1,0)),"",VLOOKUP($A80,'[1]liste reference'!$B$7:$D$906,1,0)),VLOOKUP($A80,'[1]liste reference'!$A$7:$D$906,2,0))</f>
        <v/>
      </c>
      <c r="E80" s="217" t="n">
        <f aca="false">IF(D80="",0,VLOOKUP(D80,D$20:D78,1,0))</f>
        <v>0</v>
      </c>
      <c r="F80" s="227" t="n">
        <f aca="false">($B80*$B$7+$C80*$C$7)/100</f>
        <v>0</v>
      </c>
      <c r="G80" s="219" t="str">
        <f aca="false">IF(A80="","",IF(ISERROR(VLOOKUP($A80,'[1]liste reference'!$A$7:$P$906,13,0)),IF(ISERROR(VLOOKUP($A80,'[1]liste reference'!$B$7:$P$906,12,0)),"    -",VLOOKUP($A80,'[1]liste reference'!$B$7:$P$906,12,0)),VLOOKUP($A80,'[1]liste reference'!$A$7:$P$906,13,0)))</f>
        <v/>
      </c>
      <c r="H80" s="201" t="str">
        <f aca="false">IF(A80="","x",IF(ISERROR(VLOOKUP($A80,'[1]liste reference'!$A$7:$P$906,14,0)),IF(ISERROR(VLOOKUP($A80,'[1]liste reference'!$B$7:$P$906,13,0)),"x",VLOOKUP($A80,'[1]liste reference'!$B$7:$P$906,13,0)),VLOOKUP($A80,'[1]liste reference'!$A$7:$P$906,14,0)))</f>
        <v>x</v>
      </c>
      <c r="I80" s="220" t="str">
        <f aca="false">IF(ISNUMBER(H80),IF(ISERROR(VLOOKUP($A80,'[1]liste reference'!$A$7:$P$906,3,0)),IF(ISERROR(VLOOKUP($A80,'[1]liste reference'!$B$7:$P$906,2,0)),"",VLOOKUP($A80,'[1]liste reference'!$B$7:$P$906,2,0)),VLOOKUP($A80,'[1]liste reference'!$A$7:$P$906,3,0)),"")</f>
        <v/>
      </c>
      <c r="J80" s="203" t="str">
        <f aca="false">IF(ISNUMBER(H80),IF(ISERROR(VLOOKUP($A80,'[1]liste reference'!$A$7:$P$906,4,0)),IF(ISERROR(VLOOKUP($A80,'[1]liste reference'!$B$7:$P$906,3,0)),"",VLOOKUP($A80,'[1]liste reference'!$B$7:$P$906,3,0)),VLOOKUP($A80,'[1]liste reference'!$A$7:$P$906,4,0)),"")</f>
        <v/>
      </c>
      <c r="K80" s="221" t="str">
        <f aca="false">IF(A80="NEW.COD",AA80,IF(ISTEXT($E80),"DEJA SAISI !",IF(A80="","",IF(ISERROR(VLOOKUP($A80,'[1]liste reference'!$A$7:$D$906,2,0)),IF(ISERROR(VLOOKUP($A80,'[1]liste reference'!$B$7:$D$906,1,0)),"code non répertorié ou synonyme",VLOOKUP($A80,'[1]liste reference'!$B$7:$D$906,1,0)),VLOOKUP(A80,'[1]liste reference'!$A$7:$D$906,2,0)))))</f>
        <v/>
      </c>
      <c r="L80" s="225"/>
      <c r="M80" s="225"/>
      <c r="N80" s="225"/>
      <c r="O80" s="226"/>
      <c r="P80" s="207" t="str">
        <f aca="false">IF(ISTEXT(H80),"",(B80*$B$7/100)+(C80*$C$7/100))</f>
        <v/>
      </c>
      <c r="Q80" s="208" t="str">
        <f aca="false">IF(OR(ISTEXT(H80),P80=0),"",IF(P80&lt;0.1,1,IF(P80&lt;1,2,IF(P80&lt;10,3,IF(P80&lt;50,4,IF(P80&gt;=50,5,""))))))</f>
        <v/>
      </c>
      <c r="R80" s="208" t="n">
        <f aca="false">IF(ISERROR(Q80*I80),0,Q80*I80)</f>
        <v>0</v>
      </c>
      <c r="S80" s="208" t="n">
        <f aca="false">IF(ISERROR(Q80*I80*J80),0,Q80*I80*J80)</f>
        <v>0</v>
      </c>
      <c r="T80" s="223" t="n">
        <f aca="false">IF(ISERROR(Q80*J80),0,Q80*J80)</f>
        <v>0</v>
      </c>
      <c r="U80" s="209" t="str">
        <f aca="false">IF(AND(A80="",F80=0),"",IF(F80=0,"Il manque le(s) % de rec. !",""))</f>
        <v/>
      </c>
      <c r="V80" s="230"/>
      <c r="W80" s="231"/>
      <c r="X80" s="211" t="str">
        <f aca="false">IF(A80="new.cod","NEW.COD",IF(AND((Y80=""),ISTEXT(A80)),A80,IF(Y80="","",INDEX('[1]liste reference'!$A$7:$A$906,Y80))))</f>
        <v/>
      </c>
      <c r="Y80" s="9" t="str">
        <f aca="false">IF(ISERROR(MATCH(A80,'[1]liste reference'!$A$7:$A$906,0)),IF(ISERROR(MATCH(A80,'[1]liste reference'!$B$7:$B$906,0)),"",(MATCH(A80,'[1]liste reference'!$B$7:$B$906,0))),(MATCH(A80,'[1]liste reference'!$A$7:$A$906,0)))</f>
        <v/>
      </c>
      <c r="Z80" s="212"/>
      <c r="AA80" s="213"/>
      <c r="BB80" s="9" t="str">
        <f aca="false">IF(A80="","",1)</f>
        <v/>
      </c>
    </row>
    <row r="81" customFormat="false" ht="12.75" hidden="false" customHeight="false" outlineLevel="0" collapsed="false">
      <c r="A81" s="214"/>
      <c r="B81" s="215"/>
      <c r="C81" s="216"/>
      <c r="D81" s="217" t="str">
        <f aca="false">IF(ISERROR(VLOOKUP($A81,'[1]liste reference'!$A$7:$D$906,2,0)),IF(ISERROR(VLOOKUP($A81,'[1]liste reference'!$B$7:$D$906,1,0)),"",VLOOKUP($A81,'[1]liste reference'!$B$7:$D$906,1,0)),VLOOKUP($A81,'[1]liste reference'!$A$7:$D$906,2,0))</f>
        <v/>
      </c>
      <c r="E81" s="217" t="n">
        <f aca="false">IF(D81="",0,VLOOKUP(D81,D$22:D80,1,0))</f>
        <v>0</v>
      </c>
      <c r="F81" s="227" t="n">
        <f aca="false">($B81*$B$7+$C81*$C$7)/100</f>
        <v>0</v>
      </c>
      <c r="G81" s="219" t="str">
        <f aca="false">IF(A81="","",IF(ISERROR(VLOOKUP($A81,'[1]liste reference'!$A$7:$P$906,13,0)),IF(ISERROR(VLOOKUP($A81,'[1]liste reference'!$B$7:$P$906,12,0)),"    -",VLOOKUP($A81,'[1]liste reference'!$B$7:$P$906,12,0)),VLOOKUP($A81,'[1]liste reference'!$A$7:$P$906,13,0)))</f>
        <v/>
      </c>
      <c r="H81" s="201" t="str">
        <f aca="false">IF(A81="","x",IF(ISERROR(VLOOKUP($A81,'[1]liste reference'!$A$7:$P$906,14,0)),IF(ISERROR(VLOOKUP($A81,'[1]liste reference'!$B$7:$P$906,13,0)),"x",VLOOKUP($A81,'[1]liste reference'!$B$7:$P$906,13,0)),VLOOKUP($A81,'[1]liste reference'!$A$7:$P$906,14,0)))</f>
        <v>x</v>
      </c>
      <c r="I81" s="220" t="str">
        <f aca="false">IF(ISNUMBER(H81),IF(ISERROR(VLOOKUP($A81,'[1]liste reference'!$A$7:$P$906,3,0)),IF(ISERROR(VLOOKUP($A81,'[1]liste reference'!$B$7:$P$906,2,0)),"",VLOOKUP($A81,'[1]liste reference'!$B$7:$P$906,2,0)),VLOOKUP($A81,'[1]liste reference'!$A$7:$P$906,3,0)),"")</f>
        <v/>
      </c>
      <c r="J81" s="203" t="str">
        <f aca="false">IF(ISNUMBER(H81),IF(ISERROR(VLOOKUP($A81,'[1]liste reference'!$A$7:$P$906,4,0)),IF(ISERROR(VLOOKUP($A81,'[1]liste reference'!$B$7:$P$906,3,0)),"",VLOOKUP($A81,'[1]liste reference'!$B$7:$P$906,3,0)),VLOOKUP($A81,'[1]liste reference'!$A$7:$P$906,4,0)),"")</f>
        <v/>
      </c>
      <c r="K81" s="221" t="str">
        <f aca="false">IF(A81="NEW.COD",AA81,IF(ISTEXT($E81),"DEJA SAISI !",IF(A81="","",IF(ISERROR(VLOOKUP($A81,'[1]liste reference'!$A$7:$D$906,2,0)),IF(ISERROR(VLOOKUP($A81,'[1]liste reference'!$B$7:$D$906,1,0)),"code non répertorié ou synonyme",VLOOKUP($A81,'[1]liste reference'!$B$7:$D$906,1,0)),VLOOKUP(A81,'[1]liste reference'!$A$7:$D$906,2,0)))))</f>
        <v/>
      </c>
      <c r="L81" s="222"/>
      <c r="M81" s="222"/>
      <c r="N81" s="222"/>
      <c r="O81" s="206"/>
      <c r="P81" s="207" t="str">
        <f aca="false">IF(ISTEXT(H81),"",(B81*$B$7/100)+(C81*$C$7/100))</f>
        <v/>
      </c>
      <c r="Q81" s="208" t="str">
        <f aca="false">IF(OR(ISTEXT(H81),P81=0),"",IF(P81&lt;0.1,1,IF(P81&lt;1,2,IF(P81&lt;10,3,IF(P81&lt;50,4,IF(P81&gt;=50,5,""))))))</f>
        <v/>
      </c>
      <c r="R81" s="208" t="n">
        <f aca="false">IF(ISERROR(Q81*I81),0,Q81*I81)</f>
        <v>0</v>
      </c>
      <c r="S81" s="208" t="n">
        <f aca="false">IF(ISERROR(Q81*I81*J81),0,Q81*I81*J81)</f>
        <v>0</v>
      </c>
      <c r="T81" s="223" t="n">
        <f aca="false">IF(ISERROR(Q81*J81),0,Q81*J81)</f>
        <v>0</v>
      </c>
      <c r="U81" s="209" t="str">
        <f aca="false">IF(AND(A81="",F81=0),"",IF(F81=0,"Il manque le(s) % de rec. !",""))</f>
        <v/>
      </c>
      <c r="V81" s="210"/>
      <c r="X81" s="211" t="str">
        <f aca="false">IF(A81="new.cod","NEW.COD",IF(AND((Y81=""),ISTEXT(A81)),A81,IF(Y81="","",INDEX('[1]liste reference'!$A$7:$A$906,Y81))))</f>
        <v/>
      </c>
      <c r="Y81" s="9" t="str">
        <f aca="false">IF(ISERROR(MATCH(A81,'[1]liste reference'!$A$7:$A$906,0)),IF(ISERROR(MATCH(A81,'[1]liste reference'!$B$7:$B$906,0)),"",(MATCH(A81,'[1]liste reference'!$B$7:$B$906,0))),(MATCH(A81,'[1]liste reference'!$A$7:$A$906,0)))</f>
        <v/>
      </c>
      <c r="Z81" s="212"/>
      <c r="AA81" s="213"/>
      <c r="BB81" s="9" t="str">
        <f aca="false">IF(A81="","",1)</f>
        <v/>
      </c>
    </row>
    <row r="82" customFormat="false" ht="12.75" hidden="false" customHeight="false" outlineLevel="0" collapsed="false">
      <c r="A82" s="232"/>
      <c r="B82" s="233"/>
      <c r="C82" s="234"/>
      <c r="D82" s="235" t="str">
        <f aca="false">IF(ISERROR(VLOOKUP($A82,'[1]liste reference'!$A$7:$D$906,2,0)),IF(ISERROR(VLOOKUP($A82,'[1]liste reference'!$B$7:$D$906,1,0)),"",VLOOKUP($A82,'[1]liste reference'!$B$7:$D$906,1,0)),VLOOKUP($A82,'[1]liste reference'!$A$7:$D$906,2,0))</f>
        <v/>
      </c>
      <c r="E82" s="235" t="n">
        <f aca="false">IF(D82="",0,VLOOKUP(D82,D$22:D81,1,0))</f>
        <v>0</v>
      </c>
      <c r="F82" s="236" t="n">
        <f aca="false">($B82*$B$7+$C82*$C$7)/100</f>
        <v>0</v>
      </c>
      <c r="G82" s="237" t="str">
        <f aca="false">IF(A82="","",IF(ISERROR(VLOOKUP($A82,'[1]liste reference'!$A$7:$P$906,13,0)),IF(ISERROR(VLOOKUP($A82,'[1]liste reference'!$B$7:$P$906,12,0)),"    -",VLOOKUP($A82,'[1]liste reference'!$B$7:$P$906,12,0)),VLOOKUP($A82,'[1]liste reference'!$A$7:$P$906,13,0)))</f>
        <v/>
      </c>
      <c r="H82" s="201" t="str">
        <f aca="false">IF(A82="","x",IF(ISERROR(VLOOKUP($A82,'[1]liste reference'!$A$7:$P$906,14,0)),IF(ISERROR(VLOOKUP($A82,'[1]liste reference'!$B$7:$P$906,13,0)),"x",VLOOKUP($A82,'[1]liste reference'!$B$7:$P$906,13,0)),VLOOKUP($A82,'[1]liste reference'!$A$7:$P$906,14,0)))</f>
        <v>x</v>
      </c>
      <c r="I82" s="238" t="str">
        <f aca="false">IF(ISNUMBER(H82),IF(ISERROR(VLOOKUP($A82,'[1]liste reference'!$A$7:$P$906,3,0)),IF(ISERROR(VLOOKUP($A82,'[1]liste reference'!$B$7:$P$906,2,0)),"",VLOOKUP($A82,'[1]liste reference'!$B$7:$P$906,2,0)),VLOOKUP($A82,'[1]liste reference'!$A$7:$P$906,3,0)),"")</f>
        <v/>
      </c>
      <c r="J82" s="238" t="str">
        <f aca="false">IF(ISNUMBER(H82),IF(ISERROR(VLOOKUP($A82,'[1]liste reference'!$A$7:$P$906,4,0)),IF(ISERROR(VLOOKUP($A82,'[1]liste reference'!$B$7:$P$906,3,0)),"",VLOOKUP($A82,'[1]liste reference'!$B$7:$P$906,3,0)),VLOOKUP($A82,'[1]liste reference'!$A$7:$P$906,4,0)),"")</f>
        <v/>
      </c>
      <c r="K82" s="239" t="str">
        <f aca="false">IF(A82="NEW.COD",AA82,IF(ISTEXT($E82),"DEJA SAISI !",IF(A82="","",IF(ISERROR(VLOOKUP($A82,'[1]liste reference'!$A$7:$D$906,2,0)),IF(ISERROR(VLOOKUP($A82,'[1]liste reference'!$B$7:$D$906,1,0)),"code non répertorié ou synonyme",VLOOKUP($A82,'[1]liste reference'!$B$7:$D$906,1,0)),VLOOKUP(A82,'[1]liste reference'!$A$7:$D$906,2,0)))))</f>
        <v/>
      </c>
      <c r="L82" s="240"/>
      <c r="M82" s="240"/>
      <c r="N82" s="240"/>
      <c r="O82" s="241"/>
      <c r="P82" s="207" t="str">
        <f aca="false">IF(ISTEXT(H82),"",(B82*$B$7/100)+(C82*$C$7/100))</f>
        <v/>
      </c>
      <c r="Q82" s="208" t="str">
        <f aca="false">IF(OR(ISTEXT(H82),P82=0),"",IF(P82&lt;0.1,1,IF(P82&lt;1,2,IF(P82&lt;10,3,IF(P82&lt;50,4,IF(P82&gt;=50,5,""))))))</f>
        <v/>
      </c>
      <c r="R82" s="208" t="n">
        <f aca="false">IF(ISERROR(Q82*I82),0,Q82*I82)</f>
        <v>0</v>
      </c>
      <c r="S82" s="208" t="n">
        <f aca="false">IF(ISERROR(Q82*I82*J82),0,Q82*I82*J82)</f>
        <v>0</v>
      </c>
      <c r="T82" s="223" t="n">
        <f aca="false">IF(ISERROR(Q82*J82),0,Q82*J82)</f>
        <v>0</v>
      </c>
      <c r="U82" s="209" t="str">
        <f aca="false">IF(AND(A82="",F82=0),"",IF(F82=0,"Il manque le(s) % de rec. !",""))</f>
        <v/>
      </c>
      <c r="V82" s="210"/>
      <c r="X82" s="211" t="str">
        <f aca="false">IF(A82="new.cod","NEW.COD",IF(AND((Y82=""),ISTEXT(A82)),A82,IF(Y82="","",INDEX('[1]liste reference'!$A$7:$A$906,Y82))))</f>
        <v/>
      </c>
      <c r="Y82" s="9" t="str">
        <f aca="false">IF(ISERROR(MATCH(A82,'[1]liste reference'!$A$7:$A$906,0)),IF(ISERROR(MATCH(A82,'[1]liste reference'!$B$7:$B$906,0)),"",(MATCH(A82,'[1]liste reference'!$B$7:$B$906,0))),(MATCH(A82,'[1]liste reference'!$A$7:$A$906,0)))</f>
        <v/>
      </c>
      <c r="Z82" s="212"/>
      <c r="AA82" s="213"/>
      <c r="BB82" s="9" t="str">
        <f aca="false">IF(A82="","",1)</f>
        <v/>
      </c>
    </row>
    <row r="83" customFormat="false" ht="15" hidden="true" customHeight="false" outlineLevel="0" collapsed="false">
      <c r="A83" s="242" t="s">
        <v>82</v>
      </c>
      <c r="B83" s="153"/>
      <c r="C83" s="153"/>
      <c r="D83" s="153"/>
      <c r="E83" s="153"/>
      <c r="F83" s="153"/>
      <c r="G83" s="153"/>
      <c r="H83" s="153"/>
      <c r="I83" s="153"/>
      <c r="J83" s="153"/>
      <c r="K83" s="153"/>
      <c r="L83" s="153"/>
      <c r="M83" s="208"/>
      <c r="N83" s="208"/>
      <c r="O83" s="243"/>
      <c r="P83" s="243"/>
      <c r="Q83" s="243"/>
      <c r="R83" s="243"/>
      <c r="S83" s="9"/>
      <c r="T83" s="9"/>
      <c r="U83" s="243"/>
      <c r="V83" s="243"/>
      <c r="W83" s="243"/>
      <c r="X83" s="244"/>
      <c r="Y83" s="244"/>
      <c r="Z83" s="244"/>
      <c r="AA83" s="245"/>
      <c r="AB83" s="245"/>
      <c r="AC83" s="245"/>
    </row>
    <row r="84" customFormat="false" ht="12.75" hidden="true" customHeight="false" outlineLevel="0" collapsed="false">
      <c r="A84" s="246" t="str">
        <f aca="false">A3</f>
        <v>TOULOURENC</v>
      </c>
      <c r="B84" s="247" t="str">
        <f aca="false">C3</f>
        <v>ST LEGER DU VENTOUX</v>
      </c>
      <c r="C84" s="248" t="n">
        <f aca="false">A4</f>
        <v>40380</v>
      </c>
      <c r="D84" s="249" t="n">
        <f aca="false">IF(ISERROR(SUM($S$23:$S$82)/SUM($T$23:$T$82)),"",SUM($S$23:$S$82)/SUM($T$23:$T$82))</f>
        <v>11.8888888888889</v>
      </c>
      <c r="E84" s="250" t="n">
        <f aca="false">N13</f>
        <v>11</v>
      </c>
      <c r="F84" s="247" t="n">
        <f aca="false">N14</f>
        <v>10</v>
      </c>
      <c r="G84" s="247" t="n">
        <f aca="false">N15</f>
        <v>3</v>
      </c>
      <c r="H84" s="247" t="n">
        <f aca="false">N16</f>
        <v>6</v>
      </c>
      <c r="I84" s="247" t="n">
        <f aca="false">N17</f>
        <v>1</v>
      </c>
      <c r="J84" s="251" t="n">
        <f aca="false">N8</f>
        <v>11.5</v>
      </c>
      <c r="K84" s="249" t="n">
        <f aca="false">N9</f>
        <v>3.47211110933328</v>
      </c>
      <c r="L84" s="250" t="n">
        <f aca="false">N10</f>
        <v>4</v>
      </c>
      <c r="M84" s="250" t="n">
        <f aca="false">N11</f>
        <v>16</v>
      </c>
      <c r="N84" s="249" t="n">
        <f aca="false">O8</f>
        <v>1.8</v>
      </c>
      <c r="O84" s="249" t="n">
        <f aca="false">O9</f>
        <v>0.632455532033676</v>
      </c>
      <c r="P84" s="250" t="n">
        <f aca="false">O10</f>
        <v>1</v>
      </c>
      <c r="Q84" s="250" t="n">
        <f aca="false">O11</f>
        <v>3</v>
      </c>
      <c r="R84" s="252" t="n">
        <f aca="false">F21</f>
        <v>0.102</v>
      </c>
      <c r="S84" s="250" t="n">
        <f aca="false">K11</f>
        <v>0</v>
      </c>
      <c r="T84" s="250" t="n">
        <f aca="false">K12</f>
        <v>6</v>
      </c>
      <c r="U84" s="250" t="n">
        <f aca="false">K13</f>
        <v>3</v>
      </c>
      <c r="V84" s="253" t="n">
        <f aca="false">K14</f>
        <v>1</v>
      </c>
      <c r="W84" s="254" t="n">
        <f aca="false">K15</f>
        <v>1</v>
      </c>
      <c r="Y84" s="255"/>
      <c r="Z84" s="255"/>
      <c r="AA84" s="245"/>
      <c r="AB84" s="245"/>
      <c r="AC84" s="245"/>
    </row>
    <row r="85" customFormat="false" ht="12.75" hidden="true" customHeight="false" outlineLevel="0" collapsed="false">
      <c r="P85" s="9"/>
      <c r="Q85" s="9"/>
      <c r="R85" s="9"/>
      <c r="S85" s="9"/>
      <c r="T85" s="9"/>
      <c r="U85" s="9"/>
    </row>
    <row r="86" customFormat="false" ht="12.75" hidden="true" customHeight="false" outlineLevel="0" collapsed="false">
      <c r="P86" s="256" t="s">
        <v>83</v>
      </c>
      <c r="Q86" s="9"/>
      <c r="R86" s="209"/>
      <c r="S86" s="9"/>
      <c r="T86" s="9"/>
      <c r="U86" s="9"/>
    </row>
    <row r="87" customFormat="false" ht="12.75" hidden="true" customHeight="false" outlineLevel="0" collapsed="false">
      <c r="P87" s="9" t="s">
        <v>84</v>
      </c>
      <c r="Q87" s="9"/>
      <c r="R87" s="209" t="n">
        <f aca="false">VLOOKUP(MAX($R$23:$R$82),($R$23:$T$82),1,0)</f>
        <v>16</v>
      </c>
      <c r="S87" s="9"/>
      <c r="T87" s="9"/>
      <c r="U87" s="9"/>
    </row>
    <row r="88" customFormat="false" ht="12.75" hidden="true" customHeight="false" outlineLevel="0" collapsed="false">
      <c r="P88" s="9" t="s">
        <v>85</v>
      </c>
      <c r="Q88" s="9"/>
      <c r="R88" s="209" t="n">
        <f aca="false">VLOOKUP((R87),($R$23:$T$82),2,0)</f>
        <v>32</v>
      </c>
      <c r="S88" s="9"/>
      <c r="T88" s="9"/>
      <c r="U88" s="9"/>
    </row>
    <row r="89" customFormat="false" ht="12.75" hidden="true" customHeight="false" outlineLevel="0" collapsed="false">
      <c r="P89" s="9" t="s">
        <v>86</v>
      </c>
      <c r="Q89" s="9"/>
      <c r="R89" s="209" t="n">
        <f aca="false">VLOOKUP((R87),($R$23:$T$82),3,0)</f>
        <v>2</v>
      </c>
      <c r="S89" s="9"/>
    </row>
    <row r="90" customFormat="false" ht="12.75" hidden="true" customHeight="false" outlineLevel="0" collapsed="false">
      <c r="P90" s="9" t="s">
        <v>87</v>
      </c>
      <c r="Q90" s="9"/>
      <c r="R90" s="257" t="n">
        <f aca="false">IF(ISERROR(SUM($S$23:$S$82)/SUM($T$23:$T$82)),"",(SUM($S$23:$S$82)-R88)/(SUM($T$23:$T$82)-R89))</f>
        <v>11.375</v>
      </c>
      <c r="S90" s="9"/>
    </row>
    <row r="91" customFormat="false" ht="12.75" hidden="true" customHeight="false" outlineLevel="0" collapsed="false">
      <c r="P91" s="208" t="s">
        <v>88</v>
      </c>
      <c r="Q91" s="208"/>
      <c r="R91" s="208" t="str">
        <f aca="false">INDEX('[1]liste reference'!$A$7:$A$906,$S$91)</f>
        <v>BAT.SPX</v>
      </c>
      <c r="S91" s="9" t="n">
        <f aca="false">IF(ISERROR(MATCH($R$93,'[1]liste reference'!$A$7:$A$906,0)),MATCH($R$93,'[1]liste reference'!$B$7:$B$906,0),(MATCH($R$93,'[1]liste reference'!$A$7:$A$906,0)))</f>
        <v>8</v>
      </c>
      <c r="T91" s="245"/>
    </row>
    <row r="92" customFormat="false" ht="12.75" hidden="true" customHeight="false" outlineLevel="0" collapsed="false">
      <c r="P92" s="9" t="s">
        <v>89</v>
      </c>
      <c r="Q92" s="9"/>
      <c r="R92" s="9" t="n">
        <f aca="false">MATCH(R87,$R$23:$R$82,0)</f>
        <v>1</v>
      </c>
      <c r="S92" s="9"/>
    </row>
    <row r="93" customFormat="false" ht="12.75" hidden="true" customHeight="false" outlineLevel="0" collapsed="false">
      <c r="P93" s="208" t="s">
        <v>90</v>
      </c>
      <c r="Q93" s="9"/>
      <c r="R93" s="208" t="str">
        <f aca="false">INDEX($A$23:$A$82,$R$92)</f>
        <v>BAT.SPX</v>
      </c>
      <c r="S93" s="9"/>
    </row>
    <row r="94" customFormat="false" ht="12.75" hidden="false" customHeight="false" outlineLevel="0" collapsed="false">
      <c r="R94" s="245"/>
    </row>
  </sheetData>
  <sheetProtection sheet="true" password="c39f" objects="true" scenarios="true"/>
  <mergeCells count="11">
    <mergeCell ref="N6:O6"/>
    <mergeCell ref="A8:C8"/>
    <mergeCell ref="I11:J11"/>
    <mergeCell ref="I12:J12"/>
    <mergeCell ref="I13:J13"/>
    <mergeCell ref="I14:J14"/>
    <mergeCell ref="I15:J15"/>
    <mergeCell ref="I17:J17"/>
    <mergeCell ref="I18:J18"/>
    <mergeCell ref="K22:O22"/>
    <mergeCell ref="X83:Y83"/>
  </mergeCells>
  <conditionalFormatting sqref="A23:A82">
    <cfRule type="expression" priority="2" aboveAverage="0" equalAverage="0" bottom="0" percent="0" rank="0" text="" dxfId="0">
      <formula>ISTEXT($E23)</formula>
    </cfRule>
  </conditionalFormatting>
  <conditionalFormatting sqref="H23:J82">
    <cfRule type="cellIs" priority="3" operator="equal" aboveAverage="0" equalAverage="0" bottom="0" percent="0" rank="0" text="" dxfId="1">
      <formula>"x"</formula>
    </cfRule>
  </conditionalFormatting>
  <conditionalFormatting sqref="V23:W23">
    <cfRule type="cellIs" priority="4" operator="equal" aboveAverage="0" equalAverage="0" bottom="0" percent="0" rank="0" text="" dxfId="2">
      <formula>"DEJA SAISI !"</formula>
    </cfRule>
    <cfRule type="cellIs" priority="5" operator="equal" aboveAverage="0" equalAverage="0" bottom="0" percent="0" rank="0" text="" dxfId="3">
      <formula>"non répertorié"</formula>
    </cfRule>
    <cfRule type="expression" priority="6" aboveAverage="0" equalAverage="0" bottom="0" percent="0" rank="0" text="" dxfId="4">
      <formula>AND(ISTEXT($G$23),ISBLANK($I$23))</formula>
    </cfRule>
  </conditionalFormatting>
  <conditionalFormatting sqref="L27:O82 K23:K82 O23:O26">
    <cfRule type="cellIs" priority="7" operator="equal" aboveAverage="0" equalAverage="0" bottom="0" percent="0" rank="0" text="" dxfId="5">
      <formula>"DEJA SAISI !"</formula>
    </cfRule>
    <cfRule type="cellIs" priority="8" operator="equal" aboveAverage="0" equalAverage="0" bottom="0" percent="0" rank="0" text="" dxfId="6">
      <formula>"code non répertorié ou synonyme"</formula>
    </cfRule>
    <cfRule type="expression" priority="9" aboveAverage="0" equalAverage="0" bottom="0" percent="0" rank="0" text="" dxfId="7">
      <formula>AND($I27="",$J27="")</formula>
    </cfRule>
  </conditionalFormatting>
  <conditionalFormatting sqref="A2">
    <cfRule type="cellIs" priority="10" operator="between" aboveAverage="0" equalAverage="0" bottom="0" percent="0" rank="0" text="" dxfId="8">
      <formula>"(organisme)"</formula>
      <formula>"(organisme)"</formula>
    </cfRule>
    <cfRule type="cellIs" priority="11" operator="notBetween" aboveAverage="0" equalAverage="0" bottom="0" percent="0" rank="0" text="" dxfId="9">
      <formula>"(organisme)"</formula>
      <formula>"(organisme)"</formula>
    </cfRule>
  </conditionalFormatting>
  <conditionalFormatting sqref="A3">
    <cfRule type="cellIs" priority="12" operator="between" aboveAverage="0" equalAverage="0" bottom="0" percent="0" rank="0" text="" dxfId="10">
      <formula>"(cours d'eau)"</formula>
      <formula>"(cours d'eau)"</formula>
    </cfRule>
    <cfRule type="cellIs" priority="13" operator="notBetween" aboveAverage="0" equalAverage="0" bottom="0" percent="0" rank="0" text="" dxfId="11">
      <formula>"(cours d'eau)"</formula>
      <formula>"(cours d'eau)"</formula>
    </cfRule>
  </conditionalFormatting>
  <conditionalFormatting sqref="A4">
    <cfRule type="cellIs" priority="14" operator="between" aboveAverage="0" equalAverage="0" bottom="0" percent="0" rank="0" text="" dxfId="12">
      <formula>"(Date)"</formula>
      <formula>"(Date)"</formula>
    </cfRule>
    <cfRule type="cellIs" priority="15" operator="notBetween" aboveAverage="0" equalAverage="0" bottom="0" percent="0" rank="0" text="" dxfId="13">
      <formula>"(Date)"</formula>
      <formula>"(Date)"</formula>
    </cfRule>
  </conditionalFormatting>
  <conditionalFormatting sqref="C2">
    <cfRule type="cellIs" priority="16" operator="between" aboveAverage="0" equalAverage="0" bottom="0" percent="0" rank="0" text="" dxfId="14">
      <formula>"(Opérateurs)"</formula>
      <formula>"(Opérateurs)"</formula>
    </cfRule>
    <cfRule type="cellIs" priority="17" operator="notBetween" aboveAverage="0" equalAverage="0" bottom="0" percent="0" rank="0" text="" dxfId="15">
      <formula>"(Opérateurs)"</formula>
      <formula>"(Opérateurs)"</formula>
    </cfRule>
  </conditionalFormatting>
  <conditionalFormatting sqref="C3">
    <cfRule type="cellIs" priority="18" operator="between" aboveAverage="0" equalAverage="0" bottom="0" percent="0" rank="0" text="" dxfId="16">
      <formula>"(Nom de la station)"</formula>
      <formula>"(Nom de la station)"</formula>
    </cfRule>
    <cfRule type="cellIs" priority="19" operator="notBetween" aboveAverage="0" equalAverage="0" bottom="0" percent="0" rank="0" text="" dxfId="17">
      <formula>"(Nom de la station)"</formula>
      <formula>"(Nom de la station)"</formula>
    </cfRule>
  </conditionalFormatting>
  <conditionalFormatting sqref="K3">
    <cfRule type="cellIs" priority="20" operator="between" aboveAverage="0" equalAverage="0" bottom="0" percent="0" rank="0" text="" dxfId="18">
      <formula>"(Code station)"</formula>
      <formula>"(Code station)"</formula>
    </cfRule>
    <cfRule type="cellIs" priority="21" operator="notBetween" aboveAverage="0" equalAverage="0" bottom="0" percent="0" rank="0" text="" dxfId="19">
      <formula>"(Code station)"</formula>
      <formula>"(Code station)"</formula>
    </cfRule>
  </conditionalFormatting>
  <conditionalFormatting sqref="M3">
    <cfRule type="cellIs" priority="22" operator="between" aboveAverage="0" equalAverage="0" bottom="0" percent="0" rank="0" text="" dxfId="20">
      <formula>"(Dossier, type réseau)"</formula>
      <formula>"(Dossier, type réseau)"</formula>
    </cfRule>
    <cfRule type="cellIs" priority="23" operator="notBetween" aboveAverage="0" equalAverage="0" bottom="0" percent="0" rank="0" text="" dxfId="21">
      <formula>"(Dossier, type réseau)"</formula>
      <formula>"(Dossier, type réseau)"</formula>
    </cfRule>
  </conditionalFormatting>
  <dataValidations count="9">
    <dataValidation allowBlank="true" error="saisir un nombre compris entre 0 et 100 %" errorStyle="stop" operator="between" showDropDown="false" showErrorMessage="true" showInputMessage="false" sqref="B9:E17 B18:D18 B23:C42" type="decimal">
      <formula1>0</formula1>
      <formula2>100</formula2>
    </dataValidation>
    <dataValidation allowBlank="true" error="saisir un nombre entier compris entre 0 et 100 %" errorStyle="stop" operator="between" showDropDown="false" showErrorMessage="true" showInputMessage="false" sqref="B7:E7 H7:J7 H9:J9 H10:I10 H11:H18 B20:D20 G20:J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Vous devriez choisir un code dans la liste de référence !" errorStyle="information" errorTitle="ATTENTION :" operator="between" showDropDown="false" showErrorMessage="false" showInputMessage="false" sqref="A23:A82" type="list">
      <formula1>noms_taxons</formula1>
      <formula2>0</formula2>
    </dataValidation>
    <dataValidation allowBlank="true" error="sélectionner un des types de faciès de la liste." errorStyle="warning" errorTitle="ATTENTION :" operator="between" showDropDown="false" showErrorMessage="true" showInputMessage="false" sqref="B6" type="list">
      <formula1>type_courant</formula1>
      <formula2>0</formula2>
    </dataValidation>
    <dataValidation allowBlank="true" error="sélectionner un des types de faciès de la liste." errorStyle="warning" errorTitle="ATTENTION :" operator="between" showDropDown="false" showErrorMessage="true" showInputMessage="false" sqref="C6" type="list">
      <formula1>type_lent</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false" error="Veuillez sélectionner Cf. dans la liste déroulante" errorStyle="stop" errorTitle="ATTENTION" operator="between" showDropDown="false" showErrorMessage="true" showInputMessage="false" sqref="Z23:Z82" type="list">
      <formula1>Cf_</formula1>
      <formula2>0</formula2>
    </dataValidation>
  </dataValidations>
  <printOptions headings="false" gridLines="false" gridLinesSet="true" horizontalCentered="true" verticalCentered="false"/>
  <pageMargins left="0.315277777777778" right="0.157638888888889" top="0.157638888888889" bottom="0.550694444444445"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&amp;D&amp;R&amp;8version GIS Macrophytes juillet 2006</oddFooter>
  </headerFooter>
  <drawing r:id="rId2"/>
  <legacyDrawing r:id="rId3"/>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2013-10-22T10:31:33Z</dcterms:created>
  <dc:creator>elise.carnet</dc:creator>
  <dc:description/>
  <dc:language>fr-FR</dc:language>
  <cp:lastModifiedBy>elise.carnet</cp:lastModifiedBy>
  <dcterms:modified xsi:type="dcterms:W3CDTF">2013-10-23T15:12:04Z</dcterms:modified>
  <cp:revision>0</cp:revision>
  <dc:subject/>
  <dc:title/>
</cp:coreProperties>
</file>