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Toulourenc à St Leger Du V."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'Toulourenc à St Leger Du V.'!$A$1:$O$82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'Toulourenc à St Leger Du V.'!$H$1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'Toulourenc à St Leger Du V.'!$A$23:$J$84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<sst xmlns="http://schemas.openxmlformats.org/spreadsheetml/2006/main" count="7350" uniqueCount="2731">
  <si>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</si>
  <si>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</si>
  <si>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</si>
  <si>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</si>
  <si>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</si>
  <si>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</si>
  <si>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</si>
  <si>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</si>
  <si>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</si>
  <si>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</si>
  <si>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</si>
  <si>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</si>
  <si>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</si>
  <si>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</si>
  <si>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</si>
  <si>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</si>
  <si>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</si>
  <si>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</si>
  <si>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</si>
  <si>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</si>
  <si>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</si>
  <si>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</si>
  <si>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</si>
  <si>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</si>
  <si>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</si>
  <si>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</si>
  <si>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</si>
  <si>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</si>
  <si>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</si>
  <si>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</si>
  <si>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</si>
  <si>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</si>
  <si>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</si>
  <si>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</si>
  <si>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</si>
  <si>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</si>
  <si>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</si>
  <si>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</si>
  <si>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</si>
  <si>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</si>
  <si>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</si>
  <si>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</si>
  <si>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</si>
  <si>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</si>
  <si>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</si>
  <si>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</si>
  <si>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</si>
  <si>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</si>
  <si>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</si>
  <si>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</si>
  <si>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</si>
  <si>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</si>
  <si>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</si>
  <si>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</si>
  <si>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</si>
  <si>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</si>
  <si>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</si>
  <si>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</si>
  <si>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</si>
  <si>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</si>
  <si>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</si>
  <si>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</si>
  <si>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</si>
  <si>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</si>
  <si>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</si>
  <si>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</si>
  <si>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</si>
  <si>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</si>
  <si>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</si>
  <si>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</si>
  <si>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</si>
  <si>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</si>
  <si>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</si>
  <si>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</si>
  <si>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</si>
  <si>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</si>
  <si>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</si>
  <si>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</si>
  <si>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</si>
  <si>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</si>
  <si>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</si>
  <si>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</si>
  <si>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</si>
  <si>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</si>
  <si>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</si>
  <si>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</si>
  <si>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</si>
  <si>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</si>
  <si>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</si>
  <si>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</si>
  <si>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</si>
  <si>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</si>
  <si>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</si>
  <si>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</si>
  <si>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</si>
  <si>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</si>
  <si>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</si>
  <si>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</si>
  <si>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</si>
  <si>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</si>
  <si>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</si>
  <si>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</si>
  <si>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</si>
  <si>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</si>
  <si>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</si>
  <si>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</si>
  <si>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</si>
  <si>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</si>
  <si>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</si>
  <si>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</si>
  <si>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</si>
  <si>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</si>
  <si>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</si>
  <si>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</si>
  <si>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</si>
  <si>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</si>
  <si>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</si>
  <si>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</si>
  <si>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</si>
  <si>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</si>
  <si>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</si>
  <si>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</si>
  <si>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</si>
  <si>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</si>
  <si>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</si>
  <si>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</si>
  <si>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</si>
  <si>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</si>
  <si>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</si>
  <si>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</si>
  <si>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</si>
  <si>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</si>
  <si>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</si>
  <si>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</si>
  <si>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</si>
  <si>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</si>
  <si>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</si>
  <si>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</si>
  <si>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</si>
  <si>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</si>
  <si>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</si>
  <si>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</si>
  <si>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</si>
  <si>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</si>
  <si>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</si>
  <si>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</si>
  <si>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</si>
  <si>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</si>
  <si>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</si>
  <si>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</si>
  <si>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</si>
  <si>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</si>
  <si>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</si>
  <si>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</si>
  <si>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</si>
  <si>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</si>
  <si>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</si>
  <si>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</si>
  <si>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</si>
  <si>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</si>
  <si>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</si>
  <si>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</si>
  <si>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</si>
  <si>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</si>
  <si>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</si>
  <si>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</si>
  <si>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</si>
  <si>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</si>
  <si>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</si>
  <si>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</si>
  <si>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</si>
  <si>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</si>
  <si>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</si>
  <si>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</si>
  <si>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</si>
  <si>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</si>
  <si>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</si>
  <si>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</si>
  <si>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</si>
  <si>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</si>
  <si>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</si>
  <si>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</si>
  <si>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</si>
  <si>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</si>
  <si>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</si>
  <si>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</si>
  <si>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</si>
  <si>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</si>
  <si>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</si>
  <si>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</si>
  <si>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</si>
  <si>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</si>
  <si>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</si>
  <si>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</si>
  <si>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</si>
  <si>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</si>
  <si>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</si>
  <si>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</si>
  <si>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</si>
  <si>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</si>
  <si>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</si>
  <si>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</si>
  <si>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</si>
  <si>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</si>
  <si>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</si>
  <si>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</si>
  <si>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</si>
  <si>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</si>
  <si>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</si>
  <si>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</si>
  <si>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</si>
  <si>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</si>
  <si>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</si>
  <si>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</si>
  <si>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</si>
  <si>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</si>
  <si>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</si>
  <si>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</si>
  <si>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</si>
  <si>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</si>
  <si>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</si>
  <si>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</si>
  <si>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</si>
  <si>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</si>
  <si>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</si>
  <si>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</si>
  <si>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</si>
  <si>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</si>
  <si>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</si>
  <si>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</si>
  <si>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</si>
  <si>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</si>
  <si>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</si>
  <si>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</si>
  <si>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</si>
  <si>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</si>
  <si>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</si>
  <si>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</si>
  <si>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</si>
  <si>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</si>
  <si>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</si>
  <si>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</si>
  <si>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</si>
  <si>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</si>
  <si>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</si>
  <si>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</si>
  <si>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</si>
  <si>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</si>
  <si>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</si>
  <si>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</si>
  <si>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</si>
  <si>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</si>
  <si>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</si>
  <si>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</si>
  <si>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</si>
  <si>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</si>
  <si>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</si>
  <si>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</si>
  <si>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</si>
  <si>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</si>
  <si>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</si>
  <si>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</si>
  <si>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</si>
  <si>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</si>
  <si>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</si>
  <si>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</si>
  <si>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</si>
  <si>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</si>
  <si>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</si>
  <si>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</si>
  <si>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</si>
  <si>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</si>
  <si>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</si>
  <si>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</si>
  <si>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</si>
  <si>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</si>
  <si>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</si>
  <si>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</si>
  <si>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</si>
  <si>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</si>
  <si>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</si>
  <si>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</si>
  <si>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</si>
  <si>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</si>
  <si>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</si>
  <si>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</si>
  <si>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</si>
  <si>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</si>
  <si>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</si>
  <si>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</si>
  <si>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</si>
  <si>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</si>
  <si>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</si>
  <si>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</si>
  <si>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</si>
  <si>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</si>
  <si>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</si>
  <si>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</si>
  <si>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</si>
  <si>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</si>
  <si>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</si>
  <si>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</si>
  <si>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</si>
  <si>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</si>
  <si>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</si>
  <si>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</si>
  <si>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</si>
  <si>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</si>
  <si>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</si>
  <si>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</si>
  <si>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</si>
  <si>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</si>
  <si>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</si>
  <si>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</si>
  <si>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</si>
  <si>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</si>
  <si>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</si>
  <si>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</si>
  <si>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</si>
  <si>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</si>
  <si>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</si>
  <si>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</si>
  <si>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</si>
  <si>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</si>
  <si>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</si>
  <si>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</si>
  <si>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</si>
  <si>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</si>
  <si>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</si>
  <si>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</si>
  <si>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</si>
  <si>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</si>
  <si>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</si>
  <si>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</si>
  <si>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</si>
  <si>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</si>
  <si>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</si>
  <si>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</si>
  <si>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</si>
  <si>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</si>
  <si>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</si>
  <si>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</si>
  <si>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</si>
  <si>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</si>
  <si>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</si>
  <si>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</si>
  <si>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</si>
  <si>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</si>
  <si>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</si>
  <si>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</si>
  <si>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</si>
  <si>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</si>
  <si>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</si>
  <si>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</si>
  <si>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</si>
  <si>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</si>
  <si>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</si>
  <si>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</si>
  <si>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</si>
  <si>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</si>
  <si>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</si>
  <si>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</si>
  <si>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</si>
  <si>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</si>
  <si>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</si>
  <si>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</si>
  <si>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</si>
  <si>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</si>
  <si>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</si>
  <si>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</si>
  <si>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</si>
  <si>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</si>
  <si>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</si>
  <si>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</si>
  <si>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</si>
  <si>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</si>
  <si>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</si>
  <si>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</si>
  <si>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</si>
  <si>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</si>
  <si>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</si>
  <si>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</si>
  <si>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</si>
  <si>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</si>
  <si>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</si>
  <si>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</si>
  <si>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</si>
  <si>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</si>
  <si>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</si>
  <si>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</si>
  <si>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</si>
  <si>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</si>
  <si>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</si>
  <si>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</si>
  <si>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</si>
  <si>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</si>
  <si>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</si>
  <si>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</si>
  <si>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</si>
  <si>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</si>
  <si>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</si>
  <si>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</si>
  <si>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</si>
  <si>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</si>
  <si>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</si>
  <si>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</si>
  <si>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</si>
  <si>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</si>
  <si>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</si>
  <si>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</si>
  <si>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</si>
  <si>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</si>
  <si>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</si>
  <si>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</si>
  <si>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</si>
  <si>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</si>
  <si>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</si>
  <si>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</si>
  <si>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</si>
  <si>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</si>
  <si>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</si>
  <si>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</si>
  <si>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</si>
  <si>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</si>
  <si>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</si>
  <si>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</si>
  <si>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</si>
  <si>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</si>
  <si>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</si>
  <si>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</si>
  <si>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</si>
  <si>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</si>
  <si>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</si>
  <si>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</si>
  <si>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</si>
  <si>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</si>
  <si>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</si>
  <si>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</si>
  <si>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</si>
  <si>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</si>
  <si>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</si>
  <si>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</si>
  <si>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</si>
  <si>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</si>
  <si>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</si>
  <si>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</si>
  <si>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</si>
  <si>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</si>
  <si>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</si>
  <si>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</si>
  <si>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</si>
  <si>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</si>
  <si>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</si>
  <si>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</si>
  <si>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</si>
  <si>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</si>
  <si>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</si>
  <si>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</si>
  <si>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</si>
  <si>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</si>
  <si>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</si>
  <si>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</si>
  <si>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</si>
  <si>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</si>
  <si>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</si>
  <si>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</si>
  <si>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</si>
  <si>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</si>
  <si>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</si>
  <si>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</si>
  <si>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</si>
  <si>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</si>
  <si>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</si>
  <si>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</si>
  <si>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</si>
  <si>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</si>
  <si>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</si>
  <si>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</si>
  <si>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</si>
  <si>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</si>
  <si>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</si>
  <si>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</si>
  <si>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</si>
  <si>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</si>
  <si>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</si>
  <si>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</si>
  <si>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</si>
  <si>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</si>
  <si>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</si>
  <si>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</si>
  <si>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</si>
  <si>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</si>
  <si>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</si>
  <si>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</si>
  <si>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</si>
  <si>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</si>
  <si>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</si>
  <si>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</si>
  <si>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</si>
  <si>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</si>
  <si>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</si>
  <si>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</si>
  <si>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</si>
  <si>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</si>
  <si>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</si>
  <si>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</si>
  <si>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</si>
  <si>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</si>
  <si>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</si>
  <si>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</si>
  <si>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</si>
  <si>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</si>
  <si>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</si>
  <si>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</si>
  <si>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</si>
  <si>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</si>
  <si>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</si>
  <si>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</si>
  <si>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</si>
  <si>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</si>
  <si>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</si>
  <si>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</si>
  <si>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</si>
  <si>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</si>
  <si>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</si>
  <si>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</si>
  <si>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</si>
  <si>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</si>
  <si>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</si>
  <si>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</si>
  <si>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</si>
  <si>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</si>
  <si>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</si>
  <si>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</si>
  <si>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</si>
  <si>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</si>
  <si>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</si>
  <si>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</si>
  <si>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</si>
  <si>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</si>
  <si>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</si>
  <si>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</si>
  <si>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</si>
  <si>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</si>
  <si>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</si>
  <si>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</si>
  <si>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</si>
  <si>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</si>
  <si>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</si>
  <si>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</si>
  <si>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</si>
  <si>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</si>
  <si>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</si>
  <si>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</si>
  <si>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</si>
  <si>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</si>
  <si>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</si>
  <si>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</si>
  <si>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</si>
  <si>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</si>
  <si>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</si>
  <si>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</si>
  <si>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</si>
  <si>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</si>
  <si>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</si>
  <si>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</si>
  <si>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</si>
  <si>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</si>
  <si>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</si>
  <si>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</si>
  <si>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</si>
  <si>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</si>
  <si>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</si>
  <si>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</si>
  <si>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</si>
  <si>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</si>
  <si>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</si>
  <si>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</si>
  <si>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</si>
  <si>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</si>
  <si>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</si>
  <si>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</si>
  <si>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</si>
  <si>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</si>
  <si>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</si>
  <si>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</si>
  <si>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</si>
  <si>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</si>
  <si>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</si>
  <si>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</si>
  <si>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</si>
  <si>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</si>
  <si>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</si>
  <si>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</si>
  <si>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</si>
  <si>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</si>
  <si>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</si>
  <si>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</si>
  <si>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</si>
  <si>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</si>
  <si>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</si>
  <si>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</si>
  <si>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</si>
  <si>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</si>
  <si>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</si>
  <si>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</si>
  <si>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</si>
  <si>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</si>
  <si>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</si>
  <si>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</si>
  <si>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</si>
  <si>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</si>
  <si>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</si>
  <si>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</si>
  <si>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</si>
  <si>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</si>
  <si>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</si>
  <si>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</si>
  <si>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</si>
  <si>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</si>
  <si>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</si>
  <si>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</si>
  <si>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</si>
  <si>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</si>
  <si>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</si>
  <si>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</si>
  <si>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</si>
  <si>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</si>
  <si>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</si>
  <si>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</si>
  <si>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</si>
  <si>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</si>
  <si>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</si>
  <si>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</si>
  <si>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</si>
  <si>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</si>
  <si>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</si>
  <si>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</si>
  <si>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</si>
  <si>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</si>
  <si>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</si>
  <si>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</si>
  <si>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</si>
  <si>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</si>
  <si>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</si>
  <si>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</si>
  <si>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</si>
  <si>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</si>
  <si>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</si>
  <si>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</si>
  <si>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</si>
  <si>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</si>
  <si>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</si>
  <si>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</si>
  <si>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</si>
  <si>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</si>
  <si>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</si>
  <si>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</si>
  <si>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</si>
  <si>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</si>
  <si>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</si>
  <si>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</si>
  <si>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</si>
  <si>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</si>
  <si>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</si>
  <si>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</si>
  <si>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</si>
  <si>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</si>
  <si>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</si>
  <si>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</si>
  <si>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</si>
  <si>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</si>
  <si>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</si>
  <si>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</si>
  <si>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</si>
  <si>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</si>
  <si>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</si>
  <si>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</si>
  <si>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</si>
  <si>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</si>
  <si>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</si>
  <si>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</si>
  <si>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</si>
  <si>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</si>
  <si>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</si>
  <si>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</si>
  <si>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</si>
  <si>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</si>
  <si>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</si>
  <si>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</si>
  <si>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</si>
  <si>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</si>
  <si>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</si>
  <si>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</si>
  <si>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</si>
  <si>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</si>
  <si>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</si>
  <si>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</si>
  <si>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</si>
  <si>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</si>
  <si>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</si>
  <si>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</si>
  <si>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</si>
  <si>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</si>
  <si>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</si>
  <si>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</si>
  <si>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</si>
  <si>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</si>
  <si>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</si>
  <si>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</si>
  <si>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</si>
  <si>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</si>
  <si>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</si>
  <si>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</si>
  <si>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</si>
  <si>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</si>
  <si>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</si>
  <si>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</si>
  <si>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</si>
  <si>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</si>
  <si>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</si>
  <si>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</si>
  <si>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</si>
  <si>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</si>
  <si>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</si>
  <si>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</si>
  <si>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</si>
  <si>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</si>
  <si>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</si>
  <si>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</si>
  <si>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</si>
  <si>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</si>
  <si>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</si>
  <si>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</si>
  <si>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</si>
  <si>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</si>
  <si>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</si>
  <si>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</si>
  <si>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</si>
  <si>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</si>
  <si>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</si>
  <si>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</si>
  <si>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</si>
  <si>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</si>
  <si>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</si>
  <si>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</si>
  <si>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</si>
  <si>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</si>
  <si>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</si>
  <si>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</si>
  <si>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</si>
  <si>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</si>
  <si>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</si>
  <si>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</si>
  <si>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</si>
  <si>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</si>
  <si>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</si>
  <si>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</si>
  <si>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</si>
  <si>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</si>
  <si>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</si>
  <si>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</si>
  <si>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</si>
  <si>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</si>
  <si>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</si>
  <si>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</si>
  <si>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</si>
  <si>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</si>
  <si>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</si>
  <si>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</si>
  <si>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</si>
  <si>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</si>
  <si>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</si>
  <si>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</si>
  <si>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</si>
  <si>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</si>
  <si>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</si>
  <si>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</si>
  <si>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</si>
  <si>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</si>
  <si>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</si>
  <si>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</si>
  <si>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</si>
  <si>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</si>
  <si>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</si>
  <si>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</si>
  <si>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</si>
  <si>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</si>
  <si>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</si>
  <si>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</si>
  <si>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</si>
  <si>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</si>
  <si>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</si>
  <si>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</si>
  <si>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</si>
  <si>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</si>
  <si>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</si>
  <si>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</si>
  <si>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</si>
  <si>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</si>
  <si>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</si>
  <si>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</si>
  <si>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</si>
  <si>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</si>
  <si>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</si>
  <si>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</si>
  <si>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</si>
  <si>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</si>
  <si>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</si>
  <si>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</si>
  <si>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</si>
  <si>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</si>
  <si>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</si>
  <si>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</si>
  <si>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</si>
  <si>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</si>
  <si>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</si>
  <si>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</si>
  <si>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</si>
  <si>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</si>
  <si>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</si>
  <si>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</si>
  <si>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</si>
  <si>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</si>
  <si>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</si>
  <si>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</si>
  <si>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</si>
  <si>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</si>
  <si>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</si>
  <si>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</si>
  <si>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</si>
  <si>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</si>
  <si>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</si>
  <si>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</si>
  <si>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</si>
  <si>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</si>
  <si>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</si>
  <si>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</si>
  <si>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</si>
  <si>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</si>
  <si>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</si>
  <si>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</si>
  <si>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</si>
  <si>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</si>
  <si>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</si>
  <si>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</si>
  <si>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</si>
  <si>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</si>
  <si>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</si>
  <si>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</si>
  <si>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</si>
  <si>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</si>
  <si>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</si>
  <si>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</si>
  <si>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</si>
  <si>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</si>
  <si>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</si>
  <si>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</si>
  <si>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</si>
  <si>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</si>
  <si>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</si>
  <si>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</si>
  <si>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</si>
  <si>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</si>
  <si>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</si>
  <si>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</si>
  <si>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</si>
  <si>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</si>
  <si>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</si>
  <si>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</si>
  <si>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</si>
  <si>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</si>
  <si>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</si>
  <si>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</si>
  <si>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</si>
  <si>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</si>
  <si>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</si>
  <si>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</si>
  <si>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</si>
  <si>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</si>
  <si>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</si>
  <si>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</si>
  <si>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</si>
  <si>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</si>
  <si>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</si>
  <si>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</si>
  <si>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</si>
  <si>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</si>
  <si>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</si>
  <si>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</si>
  <si>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</si>
  <si>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</si>
  <si>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</si>
  <si>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</si>
  <si>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</si>
  <si>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</si>
  <si>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</si>
  <si>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</si>
  <si>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</si>
  <si>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</si>
  <si>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</si>
  <si>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</si>
  <si>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</si>
  <si>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</si>
  <si>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</si>
  <si>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</si>
  <si>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</si>
  <si>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</si>
  <si>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</si>
  <si>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</si>
  <si>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</si>
  <si>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</si>
  <si>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</si>
  <si>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</si>
  <si>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</si>
  <si>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</si>
  <si>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</si>
  <si>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</si>
  <si>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</si>
  <si>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</si>
  <si>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</si>
  <si>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</si>
  <si>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</si>
  <si>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</si>
  <si>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</si>
  <si>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</si>
  <si>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</si>
  <si>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</si>
  <si>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</si>
  <si>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</si>
  <si>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</si>
  <si>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</si>
  <si>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</si>
  <si>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</si>
  <si>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</si>
  <si>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</si>
  <si>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</si>
  <si>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</si>
  <si>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</si>
  <si>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</si>
  <si>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</si>
  <si>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</si>
  <si>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</si>
  <si>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</si>
  <si>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</si>
  <si>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</si>
  <si>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</si>
  <si>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</si>
  <si>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</si>
  <si>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</si>
  <si>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</si>
  <si>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</si>
  <si>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</si>
  <si>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</si>
  <si>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</si>
  <si>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</si>
  <si>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</si>
  <si>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</si>
  <si>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</si>
  <si>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</si>
  <si>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</si>
  <si>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</si>
  <si>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</si>
  <si>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</si>
  <si>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</si>
  <si>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</si>
  <si>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</si>
  <si>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</si>
  <si>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</si>
  <si>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</si>
  <si>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</si>
  <si>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</si>
  <si>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</si>
  <si>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</si>
  <si>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</si>
  <si>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</si>
  <si>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</si>
  <si>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</si>
  <si>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</si>
  <si>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</si>
  <si>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</si>
  <si>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</si>
  <si>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</si>
  <si>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</si>
  <si>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</si>
  <si>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</si>
  <si>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</si>
  <si>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</si>
  <si>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</si>
  <si>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</si>
  <si>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</si>
  <si>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</si>
  <si>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</si>
  <si>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</si>
  <si>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</si>
  <si>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</si>
  <si>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</si>
  <si>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</si>
  <si>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</si>
  <si>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</si>
  <si>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</si>
  <si>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</si>
  <si>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</si>
  <si>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</si>
  <si>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</si>
  <si>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</si>
  <si>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</si>
  <si>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</si>
  <si>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</si>
  <si>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</si>
  <si>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</si>
  <si>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</si>
  <si>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</si>
  <si>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</si>
  <si>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</si>
  <si>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</si>
  <si>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</si>
  <si>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</si>
  <si>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</si>
  <si>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</si>
  <si>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</si>
  <si>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</si>
  <si>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</si>
  <si>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</si>
  <si>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</si>
  <si>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</si>
  <si>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</si>
  <si>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</si>
  <si>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</si>
  <si>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</si>
  <si>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</si>
  <si>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</si>
  <si>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</si>
  <si>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</si>
  <si>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</si>
  <si>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</si>
  <si>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</si>
  <si>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</si>
  <si>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</si>
  <si>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</si>
  <si>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</si>
  <si>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</si>
  <si>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</si>
  <si>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</si>
  <si>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</si>
  <si>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</si>
  <si>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</si>
  <si>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</si>
  <si>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</si>
  <si>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</si>
  <si>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</si>
  <si>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</si>
  <si>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</si>
  <si>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</si>
  <si>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</si>
  <si>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</si>
  <si>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</si>
  <si>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</si>
  <si>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</si>
  <si>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</si>
  <si>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</si>
  <si>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</si>
  <si>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</si>
  <si>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</si>
  <si>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</si>
  <si>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</si>
  <si>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</si>
  <si>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</si>
  <si>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</si>
  <si>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</si>
  <si>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</si>
  <si>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</si>
  <si>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</si>
  <si>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</si>
  <si>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</si>
  <si>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</si>
  <si>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</si>
  <si>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</si>
  <si>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</si>
  <si>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</si>
  <si>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</si>
  <si>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</si>
  <si>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</si>
  <si>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</si>
  <si>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</si>
  <si>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</si>
  <si>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</si>
  <si>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</si>
  <si>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</si>
  <si>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</si>
  <si>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</si>
  <si>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</si>
  <si>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</si>
  <si>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</si>
  <si>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</si>
  <si>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</si>
  <si>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</si>
  <si>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</si>
  <si>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</si>
  <si>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</si>
  <si>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</si>
  <si>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</si>
  <si>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</si>
  <si>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</si>
  <si>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</si>
  <si>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</si>
  <si>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</si>
  <si>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</si>
  <si>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</si>
  <si>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</si>
  <si>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</si>
  <si>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</si>
  <si>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</si>
  <si>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</si>
  <si>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</si>
  <si>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</si>
  <si>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</si>
  <si>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</si>
  <si>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</si>
  <si>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</si>
  <si>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</si>
  <si>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</si>
  <si>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</si>
  <si>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</si>
  <si>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</si>
  <si>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</si>
  <si>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</si>
  <si>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</si>
  <si>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</si>
  <si>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</si>
  <si>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</si>
  <si>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</si>
  <si>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</si>
  <si>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</si>
  <si>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</si>
  <si>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</si>
  <si>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</si>
  <si>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</si>
  <si>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</si>
  <si>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</si>
  <si>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</si>
  <si>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</si>
  <si>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</si>
  <si>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</si>
  <si>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</si>
  <si>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</si>
  <si>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</si>
  <si>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</si>
  <si>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</si>
  <si>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</si>
  <si>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</si>
  <si>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</si>
  <si>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</si>
  <si>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</si>
  <si>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</si>
  <si>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</si>
  <si>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</si>
  <si>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</si>
  <si>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</si>
  <si>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</si>
  <si>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</si>
  <si>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</si>
  <si>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</si>
  <si>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</si>
  <si>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</si>
  <si>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</si>
  <si>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</si>
  <si>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</si>
  <si>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</si>
  <si>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</si>
  <si>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</si>
  <si>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</si>
  <si>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</si>
  <si>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</si>
  <si>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</si>
  <si>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</si>
  <si>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</si>
  <si>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</si>
  <si>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</si>
  <si>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</si>
  <si>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</si>
  <si>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</si>
  <si>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</si>
  <si>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</si>
  <si>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</si>
  <si>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</si>
  <si>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</si>
  <si>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</si>
  <si>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</si>
  <si>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</si>
  <si>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</si>
  <si>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</si>
  <si>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</si>
  <si>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</si>
  <si>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</si>
  <si>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</si>
  <si>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</si>
  <si>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</si>
  <si>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</si>
  <si>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</si>
  <si>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</si>
  <si>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</si>
  <si>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</si>
  <si>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</si>
  <si>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</si>
  <si>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</si>
  <si>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</si>
  <si>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</si>
  <si>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</si>
  <si>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</si>
  <si>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</si>
  <si>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</si>
  <si>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</si>
  <si>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</si>
  <si>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</si>
  <si>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</si>
  <si>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</si>
  <si>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</si>
  <si>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</si>
  <si>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</si>
  <si>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</si>
  <si>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</si>
  <si>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</si>
  <si>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</si>
  <si>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</si>
  <si>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</si>
  <si>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</si>
  <si>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</si>
  <si>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</si>
  <si>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</si>
  <si>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</si>
  <si>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</si>
  <si>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</si>
  <si>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</si>
  <si>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</si>
  <si>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</si>
  <si>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</si>
  <si>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</si>
  <si>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</si>
  <si>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</si>
  <si>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</si>
  <si>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</si>
  <si>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</si>
  <si>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</si>
  <si>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</si>
  <si>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</si>
  <si>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</si>
  <si>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</si>
  <si>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</si>
  <si>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</si>
  <si>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</si>
  <si>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</si>
  <si>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</si>
  <si>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</si>
  <si>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</si>
  <si>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</si>
  <si>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</si>
  <si>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</si>
  <si>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</si>
  <si>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</si>
  <si>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</si>
  <si>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</si>
  <si>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</si>
  <si>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</si>
  <si>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</si>
  <si>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</si>
  <si>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</si>
  <si>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</si>
  <si>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</si>
  <si>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</si>
  <si>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</si>
  <si>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</si>
  <si>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</si>
  <si>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</si>
  <si>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</si>
  <si>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</si>
  <si>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</si>
  <si>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</si>
  <si>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</si>
  <si>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</si>
  <si>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</si>
  <si>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</si>
  <si>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</si>
  <si>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</si>
  <si>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</si>
  <si>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</si>
  <si>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</si>
  <si>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</si>
  <si>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</si>
  <si>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</si>
  <si>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</si>
  <si>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</si>
  <si>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</si>
  <si>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</si>
  <si>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</si>
  <si>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</si>
  <si>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</si>
  <si>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</si>
  <si>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</si>
  <si>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</si>
  <si>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</si>
  <si>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</si>
  <si>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</si>
  <si>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</si>
  <si>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</si>
  <si>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</si>
  <si>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</si>
  <si>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</si>
  <si>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</si>
  <si>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</si>
  <si>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</si>
  <si>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</si>
  <si>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</si>
  <si>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</si>
  <si>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</si>
  <si>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</si>
  <si>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</si>
  <si>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</si>
  <si>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</si>
  <si>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</si>
  <si>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</si>
  <si>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</si>
  <si>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</si>
  <si>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</si>
  <si>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</si>
  <si>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</si>
  <si>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</si>
  <si>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</si>
  <si>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</si>
  <si>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</si>
  <si>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</si>
  <si>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</si>
  <si>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</si>
  <si>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</si>
  <si>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</si>
  <si>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</si>
  <si>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</si>
  <si>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</si>
  <si>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</si>
  <si>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</si>
  <si>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</si>
  <si>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</si>
  <si>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</si>
  <si>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</si>
  <si>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</si>
  <si>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</si>
  <si>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</si>
  <si>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</si>
  <si>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</si>
  <si>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</si>
  <si>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</si>
  <si>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</si>
  <si>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</si>
  <si>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</si>
  <si>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</si>
  <si>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</si>
  <si>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</si>
  <si>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</si>
  <si>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</si>
  <si>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</si>
  <si>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</si>
  <si>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</si>
  <si>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</si>
  <si>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</si>
  <si>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</si>
  <si>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</si>
  <si>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</si>
  <si>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</si>
  <si>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</si>
  <si>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</si>
  <si>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</si>
  <si>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</si>
  <si>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</si>
  <si>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</si>
  <si>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</si>
  <si>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</si>
  <si>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</si>
  <si>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</si>
  <si>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</si>
  <si>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</si>
  <si>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</si>
  <si>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</si>
  <si>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</si>
  <si>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</si>
  <si>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</si>
  <si>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</si>
  <si>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</si>
  <si>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</si>
  <si>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</si>
  <si>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</si>
  <si>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</si>
  <si>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</si>
  <si>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</si>
  <si>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</si>
  <si>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</si>
  <si>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</si>
  <si>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</si>
  <si>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</si>
  <si>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</si>
  <si>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</si>
  <si>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</si>
  <si>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</si>
  <si>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</si>
  <si>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</si>
  <si>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</si>
  <si>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</si>
  <si>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</si>
  <si>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</si>
  <si>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</si>
  <si>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</si>
  <si>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</si>
  <si>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</si>
  <si>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</si>
  <si>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</si>
  <si>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</si>
  <si>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</si>
  <si>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</si>
  <si>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</si>
  <si>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</si>
  <si>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</si>
  <si>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</si>
  <si>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</si>
  <si>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</si>
  <si>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</si>
  <si>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</si>
  <si>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</si>
  <si>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</si>
  <si>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</si>
  <si>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</si>
  <si>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</si>
  <si>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</si>
  <si>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</si>
  <si>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</si>
  <si>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</si>
  <si>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</si>
  <si>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</si>
  <si>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</si>
  <si>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</si>
  <si>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</si>
  <si>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</si>
  <si>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</si>
  <si>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</si>
  <si>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</si>
  <si>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</si>
  <si>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</si>
  <si>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</si>
  <si>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</si>
  <si>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</si>
  <si>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</si>
  <si>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</si>
  <si>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</si>
  <si>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</si>
  <si>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</si>
  <si>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</si>
  <si>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</si>
  <si>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</si>
  <si>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</si>
  <si>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</si>
  <si>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</si>
  <si>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</si>
  <si>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</si>
  <si>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</si>
  <si>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</si>
  <si>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</si>
  <si>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</si>
  <si>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</si>
  <si>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</si>
  <si>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</si>
  <si>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</si>
  <si>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</si>
  <si>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</si>
  <si>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</si>
  <si>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</si>
  <si>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</si>
  <si>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</si>
  <si>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</si>
  <si>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</si>
  <si>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</si>
  <si>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</si>
  <si>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</si>
  <si>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</si>
  <si>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</si>
  <si>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</si>
  <si>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</si>
  <si>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</si>
  <si>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</si>
  <si>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</si>
  <si>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</si>
  <si>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</si>
  <si>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</si>
  <si>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</si>
  <si>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</si>
  <si>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</si>
  <si>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</si>
  <si>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</si>
  <si>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</si>
  <si>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</si>
  <si>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</si>
  <si>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</si>
  <si>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</si>
  <si>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</si>
  <si>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</si>
  <si>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</si>
  <si>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</si>
  <si>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</si>
  <si>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</si>
  <si>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</si>
  <si>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</si>
  <si>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</si>
  <si>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</si>
  <si>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</si>
  <si>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</si>
  <si>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</si>
  <si>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</si>
  <si>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</si>
  <si>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</si>
  <si>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</si>
  <si>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</si>
  <si>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</si>
  <si>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</si>
  <si>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</si>
  <si>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</si>
  <si>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</si>
  <si>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</si>
  <si>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</si>
  <si>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</si>
  <si>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</si>
  <si>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</si>
  <si>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</si>
  <si>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</si>
  <si>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</si>
  <si>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</si>
  <si>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</si>
  <si>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</si>
  <si>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</si>
  <si>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</si>
  <si>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</si>
  <si>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</si>
  <si>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</si>
  <si>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</si>
  <si>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</si>
  <si>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</si>
  <si>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</si>
  <si>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</si>
  <si>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</si>
  <si>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</si>
  <si>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</si>
  <si>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</si>
  <si>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</si>
  <si>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</si>
  <si>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</si>
  <si>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</si>
  <si>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</si>
  <si>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</si>
  <si>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</si>
  <si>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</si>
  <si>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</si>
  <si>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</si>
  <si>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</si>
  <si>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</si>
  <si>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</si>
  <si>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</si>
  <si>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</si>
  <si>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</si>
  <si>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</si>
  <si>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</si>
  <si>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</si>
  <si>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</si>
  <si>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</si>
  <si>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</si>
  <si>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</si>
  <si>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</si>
  <si>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</si>
  <si>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</si>
  <si>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</si>
  <si>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</si>
  <si>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</si>
  <si>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</si>
  <si>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</si>
  <si>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</si>
  <si>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</si>
  <si>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</si>
  <si>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</si>
  <si>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</si>
  <si>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</si>
  <si>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</si>
  <si>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</si>
  <si>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</si>
  <si>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</si>
  <si>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</si>
  <si>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</si>
  <si>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</si>
  <si>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</si>
  <si>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</si>
  <si>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</si>
  <si>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</si>
  <si>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</si>
  <si>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</si>
  <si>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</si>
  <si>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</si>
  <si>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</si>
  <si>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</si>
  <si>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</si>
  <si>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</si>
  <si>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</si>
  <si>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</si>
  <si>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</si>
  <si>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</si>
  <si>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</si>
  <si>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</si>
  <si>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</si>
  <si>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</si>
  <si>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</si>
  <si>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</si>
  <si>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</si>
  <si>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</si>
  <si>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</si>
  <si>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</si>
  <si>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</si>
  <si>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</si>
  <si>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</si>
  <si>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</si>
  <si>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</si>
  <si>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</si>
  <si>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</si>
  <si>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</si>
  <si>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</si>
  <si>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</si>
  <si>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</si>
  <si>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</si>
  <si>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</si>
  <si>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</si>
  <si>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</si>
  <si>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</si>
  <si>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</si>
  <si>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</si>
  <si>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</si>
  <si>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</si>
  <si>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</si>
  <si>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</si>
  <si>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</si>
  <si>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</si>
  <si>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</si>
  <si>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</si>
  <si>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</si>
  <si>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</si>
  <si>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</si>
  <si>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</si>
  <si>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</si>
  <si>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</si>
  <si>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</si>
  <si>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</si>
  <si>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</si>
  <si>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</si>
  <si>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</si>
  <si>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</si>
  <si>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</si>
  <si>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</si>
  <si>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</si>
  <si>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</si>
  <si>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</si>
  <si>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</si>
  <si>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</si>
  <si>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</si>
  <si>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</si>
  <si>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</si>
  <si>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</si>
  <si>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</si>
  <si>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</si>
  <si>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</si>
  <si>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</si>
  <si>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</si>
  <si>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</si>
  <si>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</si>
  <si>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</si>
  <si>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</si>
  <si>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</si>
  <si>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</si>
  <si>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</si>
  <si>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</si>
  <si>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</si>
  <si>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</si>
  <si>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</si>
  <si>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</si>
  <si>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</si>
  <si>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</si>
  <si>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</si>
  <si>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</si>
  <si>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</si>
  <si>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</si>
  <si>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</si>
  <si>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</si>
  <si>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</si>
  <si>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</si>
  <si>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</si>
  <si>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</si>
  <si>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</si>
  <si>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</si>
  <si>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</si>
  <si>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</si>
  <si>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</si>
  <si>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</si>
  <si>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</si>
  <si>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</si>
  <si>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</si>
  <si>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</si>
  <si>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</si>
  <si>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</si>
  <si>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</si>
  <si>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</si>
  <si>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</si>
  <si>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</si>
  <si>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</si>
  <si>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</si>
  <si>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</si>
  <si>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</si>
  <si>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</si>
  <si>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</si>
  <si>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</si>
  <si>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</si>
  <si>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</si>
  <si>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</si>
  <si>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</si>
  <si>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</si>
  <si>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</si>
  <si>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</si>
  <si>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</si>
  <si>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</si>
  <si>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</si>
  <si>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</si>
  <si>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</si>
  <si>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</si>
  <si>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</si>
  <si>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</si>
  <si>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</si>
  <si>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</si>
  <si>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</si>
  <si>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</si>
  <si>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</si>
  <si>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</si>
  <si>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</si>
  <si>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</si>
  <si>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</si>
  <si>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</si>
  <si>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</si>
  <si>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</si>
  <si>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</si>
  <si>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</si>
  <si>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</si>
  <si>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</si>
  <si>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</si>
  <si>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</si>
  <si>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</si>
  <si>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</si>
  <si>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</si>
  <si>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</si>
  <si>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</si>
  <si>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</si>
  <si>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</si>
  <si>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</si>
  <si>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</si>
  <si>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</si>
  <si>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</si>
  <si>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</si>
  <si>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</si>
  <si>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</si>
  <si>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</si>
  <si>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</si>
  <si>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</si>
  <si>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</si>
  <si>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</si>
  <si>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</si>
  <si>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</si>
  <si>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</si>
  <si>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</si>
  <si>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</si>
  <si>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</si>
  <si>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</si>
  <si>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</si>
  <si>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</si>
  <si>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</si>
  <si>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</si>
  <si>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</si>
  <si>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</si>
  <si>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</si>
  <si>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</si>
  <si>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</si>
  <si>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</si>
  <si>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</si>
  <si>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</si>
  <si>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</si>
  <si>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</si>
  <si>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</si>
  <si>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</si>
  <si>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</si>
  <si>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</si>
  <si>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</si>
  <si>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</si>
  <si>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</si>
  <si>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</si>
  <si>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</si>
  <si>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</si>
  <si>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</si>
  <si>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</si>
  <si>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</si>
  <si>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</si>
  <si>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</si>
  <si>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</si>
  <si>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</si>
  <si>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</si>
  <si>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</si>
  <si>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</si>
  <si>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</si>
  <si>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</si>
  <si>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</si>
  <si>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</si>
  <si>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</si>
  <si>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</si>
  <si>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</si>
  <si>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</si>
  <si>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</si>
  <si>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</si>
  <si>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</si>
  <si>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</si>
  <si>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</si>
  <si>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</si>
  <si>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</si>
  <si>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</si>
  <si>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</si>
  <si>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</si>
  <si>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</si>
  <si>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</si>
  <si>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</si>
  <si>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</si>
  <si>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</si>
  <si>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</si>
  <si>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</si>
  <si>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</si>
  <si>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</si>
  <si>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</si>
  <si>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</si>
  <si>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</si>
  <si>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</si>
  <si>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</si>
  <si>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</si>
  <si>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</si>
  <si>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</si>
  <si>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</si>
  <si>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</si>
  <si>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</si>
  <si>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</si>
  <si>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</si>
  <si>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</si>
  <si>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</si>
  <si>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</si>
  <si>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</si>
  <si>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</si>
  <si>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</si>
  <si>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</si>
  <si>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</si>
  <si>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</si>
  <si>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</si>
  <si>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</si>
  <si>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</si>
  <si>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</si>
  <si>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</si>
  <si>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</si>
  <si>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</si>
  <si>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</si>
  <si>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</si>
  <si>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</si>
  <si>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</si>
  <si>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</si>
  <si>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</si>
  <si>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</si>
  <si>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</si>
  <si>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</si>
  <si>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</si>
  <si>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</si>
  <si>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</si>
  <si>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</si>
  <si>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</si>
  <si>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</si>
  <si>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</si>
  <si>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</si>
  <si>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</si>
  <si>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</si>
  <si>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</si>
  <si>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</si>
  <si>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</si>
  <si>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</si>
  <si>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</si>
  <si>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</si>
  <si>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</si>
  <si>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</si>
  <si>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</si>
  <si>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</si>
  <si>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</si>
  <si>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</si>
  <si>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</si>
  <si>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</si>
  <si>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</si>
  <si>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</si>
  <si>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</si>
  <si>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</si>
  <si>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</si>
  <si>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</si>
  <si>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</si>
  <si>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</si>
  <si>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</si>
  <si>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</si>
  <si>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</si>
  <si>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</si>
  <si>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</si>
  <si>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</si>
  <si>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</si>
  <si>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</si>
  <si>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</si>
  <si>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</si>
  <si>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</si>
  <si>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</si>
  <si>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</si>
  <si>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</si>
  <si>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</si>
  <si>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</si>
  <si>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</si>
  <si>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</si>
  <si>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</si>
  <si>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</si>
  <si>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</si>
  <si>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</si>
  <si>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</si>
  <si>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</si>
  <si>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</si>
  <si>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</si>
  <si>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</si>
  <si>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</si>
  <si>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</si>
  <si>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</si>
  <si>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</si>
  <si>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</si>
  <si>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</si>
  <si>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</si>
  <si>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</si>
  <si>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</si>
  <si>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</si>
  <si>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</si>
  <si>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</si>
  <si>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</si>
  <si>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</si>
  <si>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</si>
  <si>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</si>
  <si>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</si>
  <si>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</si>
  <si>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</si>
  <si>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</si>
  <si>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</si>
  <si>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</si>
  <si>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</si>
  <si>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</si>
  <si>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</si>
  <si>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</si>
  <si>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</si>
  <si>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</si>
  <si>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</si>
  <si>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</si>
  <si>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</si>
  <si>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</si>
  <si>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</si>
  <si>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</si>
  <si>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</si>
  <si>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</si>
  <si>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</si>
  <si>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</si>
  <si>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</si>
  <si>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</si>
  <si>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</si>
  <si>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</si>
  <si>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</si>
  <si>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</si>
  <si>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</si>
  <si>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</si>
  <si>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</si>
  <si>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</si>
  <si>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</si>
  <si>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</si>
  <si>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</si>
  <si>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</si>
  <si>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</si>
  <si>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</si>
  <si>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</si>
  <si>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</si>
  <si>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</si>
  <si>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</si>
  <si>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</si>
  <si>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</si>
  <si>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</si>
  <si>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</si>
  <si>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</si>
  <si>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</si>
  <si>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</si>
  <si>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</si>
  <si>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</si>
  <si>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</si>
  <si>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</si>
  <si>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</si>
  <si>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</si>
  <si>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</si>
  <si>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</si>
  <si>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</si>
  <si>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</si>
  <si>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</si>
  <si>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</si>
  <si>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</si>
  <si>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</si>
  <si>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</si>
  <si>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</si>
  <si>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</si>
  <si>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</si>
  <si>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</si>
  <si>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</si>
  <si>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</si>
  <si>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</si>
  <si>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</si>
  <si>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</si>
  <si>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</si>
  <si>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</si>
  <si>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</si>
  <si>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</si>
  <si>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</si>
  <si>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</si>
  <si>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</si>
  <si>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</si>
  <si>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</si>
  <si>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</si>
  <si>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</si>
  <si>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</si>
  <si>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</si>
  <si>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</si>
  <si>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</si>
  <si>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</si>
  <si>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</si>
  <si>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</si>
  <si>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</si>
  <si>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</si>
  <si>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</si>
  <si>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</si>
  <si>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</si>
  <si>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</si>
  <si>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</si>
  <si>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</si>
  <si>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</si>
  <si>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</si>
  <si>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</si>
  <si>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</si>
  <si>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</si>
  <si>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</si>
  <si>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</si>
  <si>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</si>
  <si>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</si>
  <si>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</si>
  <si>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</si>
  <si>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</si>
  <si>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</si>
  <si>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</si>
  <si>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</si>
  <si>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</si>
  <si>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</si>
  <si>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</si>
  <si>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</si>
  <si>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</si>
  <si>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</si>
  <si>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</si>
  <si>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</si>
  <si>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</si>
  <si>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</si>
  <si>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</si>
  <si>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</si>
  <si>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</si>
  <si>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</si>
  <si>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</si>
  <si>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</si>
  <si>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</si>
  <si>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</si>
  <si>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</si>
  <si>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</si>
  <si>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</si>
  <si>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</si>
  <si>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</si>
  <si>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</si>
  <si>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</si>
  <si>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</si>
  <si>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</si>
  <si>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</si>
  <si>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</si>
  <si>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</si>
  <si>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</si>
  <si>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</si>
  <si>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</si>
  <si>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</si>
  <si>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</si>
  <si>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</si>
  <si>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</si>
  <si>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</si>
  <si>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</si>
  <si>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</si>
  <si>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</si>
  <si>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</si>
  <si>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</si>
  <si>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</si>
  <si>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</si>
  <si>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</si>
  <si>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</si>
  <si>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</si>
  <si>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</si>
  <si>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</si>
  <si>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</si>
  <si>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</si>
  <si>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</si>
  <si>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</si>
  <si>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</si>
  <si>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</si>
  <si>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</si>
  <si>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</si>
  <si>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</si>
  <si>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</si>
  <si>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</si>
  <si>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</si>
  <si>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</si>
  <si>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</si>
  <si>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</si>
  <si>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</si>
  <si>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</si>
  <si>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</si>
  <si>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</si>
  <si>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</si>
  <si>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</si>
  <si>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</si>
  <si>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</si>
  <si>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</si>
  <si>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</si>
  <si>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</si>
  <si>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</si>
  <si>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</si>
  <si>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</si>
  <si>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</si>
  <si>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</si>
  <si>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</si>
  <si>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</si>
  <si>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</si>
  <si>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</si>
  <si>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</si>
  <si>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</si>
  <si>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</si>
  <si>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</si>
  <si>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</si>
  <si>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</si>
  <si>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</si>
  <si>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</si>
  <si>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</si>
  <si>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</si>
  <si>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</si>
  <si>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</si>
  <si>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</si>
  <si>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</si>
  <si>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</si>
  <si>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</si>
  <si>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</si>
  <si>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</si>
  <si>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</si>
  <si>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</si>
  <si>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</si>
  <si>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</si>
  <si>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</si>
  <si>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</si>
  <si>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</si>
  <si>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</si>
  <si>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</si>
  <si>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</si>
  <si>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</si>
  <si>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</si>
  <si>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</si>
  <si>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</si>
  <si>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</si>
  <si>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</si>
  <si>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</si>
  <si>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</si>
  <si>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</si>
  <si>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</si>
  <si>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</si>
  <si>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</si>
  <si>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</si>
  <si>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</si>
  <si>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</si>
  <si>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</si>
  <si>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</si>
  <si>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</si>
  <si>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</si>
  <si>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</si>
  <si>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</si>
  <si>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</si>
  <si>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</si>
  <si>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</si>
  <si>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</si>
  <si>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</si>
  <si>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</si>
  <si>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</si>
  <si>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</si>
  <si>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</si>
  <si>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</si>
  <si>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</si>
  <si>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</si>
  <si>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</si>
  <si>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</si>
  <si>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</si>
  <si>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</si>
  <si>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</si>
  <si>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</si>
  <si>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</si>
  <si>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</si>
  <si>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</si>
  <si>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</si>
  <si>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</si>
  <si>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</si>
  <si>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</si>
  <si>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</si>
  <si>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</si>
  <si>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</si>
  <si>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</si>
  <si>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</si>
  <si>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</si>
  <si>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</si>
  <si>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</si>
  <si>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</si>
  <si>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</si>
  <si>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</si>
  <si>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</si>
  <si>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</si>
  <si>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</si>
  <si>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</si>
  <si>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</si>
  <si>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</si>
  <si>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</si>
  <si>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</si>
  <si>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</si>
  <si>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</si>
  <si>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</si>
  <si>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</si>
  <si>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</si>
  <si>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</si>
  <si>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</si>
  <si>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</si>
  <si>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</si>
  <si>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</si>
  <si>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</si>
  <si>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</si>
  <si>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</si>
  <si>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</si>
  <si>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</si>
  <si>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</si>
  <si>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</si>
  <si>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</si>
  <si>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</si>
  <si>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</si>
  <si>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</si>
  <si>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</si>
  <si>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</si>
  <si>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</si>
  <si>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</si>
  <si>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</si>
  <si>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</si>
  <si>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</si>
  <si>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</si>
  <si>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</si>
  <si>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</si>
  <si>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</si>
  <si>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</si>
  <si>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</si>
  <si>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</si>
  <si>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</si>
  <si>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</si>
  <si>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</si>
  <si>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</si>
  <si>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</si>
  <si>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</si>
  <si>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</si>
  <si>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</si>
  <si>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</si>
  <si>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</si>
  <si>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</si>
  <si>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</si>
  <si>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</si>
  <si>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</si>
  <si>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</si>
  <si>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</si>
  <si>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</si>
  <si>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</si>
  <si>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</si>
  <si>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</si>
  <si>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</si>
  <si>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</si>
  <si>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</si>
  <si>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</si>
  <si>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</si>
  <si>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</si>
  <si>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</si>
  <si>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</si>
  <si>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</si>
  <si>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</si>
  <si>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</si>
  <si>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</si>
  <si>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</si>
  <si>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</si>
  <si>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</si>
  <si>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</si>
  <si>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</si>
  <si>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</si>
  <si>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</si>
  <si>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</si>
  <si>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</si>
  <si>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</si>
  <si>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</si>
  <si>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</si>
  <si>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</si>
  <si>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</si>
  <si>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</si>
  <si>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</si>
  <si>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</si>
  <si>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</si>
  <si>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</si>
  <si>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</si>
  <si>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</si>
  <si>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</si>
  <si>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</si>
  <si>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</si>
  <si>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</si>
  <si>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</si>
  <si>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</si>
  <si>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</si>
  <si>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</si>
  <si>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</si>
  <si>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</si>
  <si>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</si>
  <si>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</si>
  <si>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</si>
  <si>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</si>
  <si>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</si>
  <si>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</si>
  <si>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</si>
  <si>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</si>
  <si>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</si>
  <si>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</si>
  <si>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</si>
  <si>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</si>
  <si>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</si>
  <si>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</si>
  <si>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</si>
  <si>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</si>
  <si>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</si>
  <si>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</si>
  <si>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</si>
  <si>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</si>
  <si>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</si>
  <si>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</si>
  <si>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</si>
  <si>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</si>
  <si>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</si>
  <si>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</si>
  <si>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</si>
  <si>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</si>
  <si>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</si>
  <si>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</si>
  <si>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</si>
  <si>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</si>
  <si>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</si>
  <si>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</si>
  <si>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</si>
  <si>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</si>
  <si>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</si>
  <si>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</si>
  <si>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</si>
  <si>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</si>
  <si>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</si>
  <si>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</si>
  <si>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</si>
  <si>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</si>
  <si>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</si>
  <si>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</si>
  <si>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</si>
  <si>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</si>
  <si>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</si>
  <si>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</si>
  <si>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</si>
  <si>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</si>
  <si>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</si>
  <si>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</si>
  <si>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</si>
  <si>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</si>
  <si>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</si>
  <si>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</si>
  <si>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</si>
  <si>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</si>
  <si>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</si>
  <si>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</si>
  <si>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</si>
  <si>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</si>
  <si>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</si>
  <si>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</si>
  <si>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</si>
  <si>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</si>
  <si>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</si>
  <si>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</si>
  <si>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</si>
  <si>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</si>
  <si>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</si>
  <si>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</si>
  <si>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</si>
  <si>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</si>
  <si>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</si>
  <si>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</si>
  <si>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</si>
  <si>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</si>
  <si>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</si>
  <si>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</si>
  <si>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</si>
  <si>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</si>
  <si>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</si>
  <si>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</si>
  <si>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</si>
  <si>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</si>
  <si>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</si>
  <si>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</si>
  <si>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</si>
  <si>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</si>
  <si>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</si>
  <si>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</si>
  <si>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</si>
  <si>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</si>
  <si>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</si>
  <si>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</si>
  <si>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</si>
  <si>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</si>
  <si>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</si>
  <si>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</si>
  <si>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</si>
  <si>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</si>
  <si>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</si>
  <si>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</si>
  <si>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</si>
  <si>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</si>
  <si>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</si>
  <si>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</si>
  <si>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</si>
  <si>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</si>
  <si>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</si>
  <si>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</si>
  <si>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</si>
  <si>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</si>
  <si>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</si>
  <si>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</si>
  <si>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</si>
  <si>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</si>
  <si>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</si>
  <si>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</si>
  <si>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</si>
  <si>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</si>
  <si>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</si>
  <si>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</si>
  <si>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</si>
  <si>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</si>
  <si>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</si>
  <si>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</si>
  <si>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</si>
  <si>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</si>
  <si>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</si>
  <si>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</si>
  <si>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</si>
  <si>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</si>
  <si>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</si>
  <si>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</si>
  <si>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</si>
  <si>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</si>
  <si>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</si>
  <si>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</si>
  <si>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</si>
  <si>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</si>
  <si>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</si>
  <si>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</si>
  <si>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</si>
  <si>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</si>
  <si>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</si>
  <si>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</si>
  <si>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</si>
  <si>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</si>
  <si>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</si>
  <si>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</si>
  <si>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</si>
  <si>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</si>
  <si>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</si>
  <si>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</si>
  <si>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</si>
  <si>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</si>
  <si>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</si>
  <si>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</si>
  <si>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</si>
  <si>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</si>
  <si>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</si>
  <si>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</si>
  <si>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</si>
  <si>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</si>
  <si>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</si>
  <si>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</si>
  <si>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</si>
  <si>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</si>
  <si>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</si>
  <si>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</si>
  <si>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</si>
  <si>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</si>
  <si>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</si>
  <si>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</si>
  <si>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</si>
  <si>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</si>
  <si>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</si>
  <si>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</si>
  <si>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</si>
  <si>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</si>
  <si>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</si>
  <si>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</si>
  <si>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</si>
  <si>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</si>
  <si>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</si>
  <si>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</si>
  <si>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</si>
  <si>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</si>
  <si>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</si>
  <si>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</si>
  <si>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</si>
  <si>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</si>
  <si>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</si>
  <si>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</si>
  <si>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</si>
  <si>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</si>
  <si>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</si>
  <si>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</si>
  <si>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</si>
  <si>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</si>
  <si>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</si>
  <si>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</si>
  <si>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</si>
  <si>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</si>
  <si>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</si>
  <si>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</si>
  <si>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</si>
  <si>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</si>
  <si>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</si>
  <si>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</si>
  <si>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</si>
  <si>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</si>
  <si>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</si>
  <si>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</si>
  <si>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</si>
  <si>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</si>
  <si>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</si>
  <si>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</si>
  <si>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</si>
  <si>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</si>
  <si>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</si>
  <si>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</si>
  <si>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</si>
  <si>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</si>
  <si>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</si>
  <si>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</si>
  <si>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</si>
  <si>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</si>
  <si>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</si>
  <si>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</si>
  <si>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</si>
  <si>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</si>
  <si>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</si>
  <si>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</si>
  <si>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</si>
  <si>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</si>
  <si>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</si>
  <si>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</si>
  <si>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</si>
  <si>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</si>
  <si>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</si>
  <si>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</si>
  <si>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</si>
  <si>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</si>
  <si>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</si>
  <si>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</si>
  <si>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</si>
  <si>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</si>
  <si>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</si>
  <si>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</si>
  <si>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</si>
  <si>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</si>
  <si>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</si>
  <si>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</si>
  <si>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</si>
  <si>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</si>
  <si>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</si>
  <si>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</si>
  <si>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</si>
  <si>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</si>
  <si>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</si>
  <si>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</si>
  <si>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</si>
  <si>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</si>
  <si>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</si>
  <si>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</si>
  <si>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</si>
  <si>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Toulourenc</t>
  </si>
  <si>
    <t xml:space="preserve">Saint Leger du Ventoux</t>
  </si>
  <si>
    <t xml:space="preserve">06710039</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</si>
  <si>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</si>
  <si>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</si>
  <si>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</si>
  <si>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</si>
  <si>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</si>
  <si>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</si>
  <si>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</si>
  <si>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</si>
  <si>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</si>
  <si>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</si>
  <si>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</si>
  <si>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</si>
  <si>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</si>
  <si>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</si>
  <si>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</si>
  <si>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</si>
  <si>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</si>
  <si>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</si>
  <si>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</si>
  <si>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</si>
  <si>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</si>
  <si>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</si>
  <si>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</si>
  <si>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</si>
  <si>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</si>
  <si>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</si>
  <si>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</si>
  <si>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</si>
  <si>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</si>
  <si>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</si>
  <si>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</si>
  <si>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</si>
  <si>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</si>
  <si>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</si>
  <si>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</si>
  <si>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</si>
  <si>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</si>
  <si>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</si>
  <si>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</si>
  <si>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</si>
  <si>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</si>
  <si>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</si>
  <si>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</si>
  <si>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</si>
  <si>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</si>
  <si>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</si>
  <si>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</si>
  <si>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</si>
  <si>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</si>
  <si>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</si>
  <si>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(0,3482 %)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</si>
  <si>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</si>
  <si>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</si>
  <si>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</si>
  <si>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</si>
  <si>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</si>
  <si>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</si>
  <si>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</si>
  <si>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</si>
  <si>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</si>
  <si>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</si>
  <si>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</si>
  <si>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</si>
  <si>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</si>
  <si>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</si>
  <si>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</si>
  <si>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</si>
  <si>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</si>
  <si>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</si>
  <si>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</si>
  <si>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</si>
  <si>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Bryum bicolor</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</si>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</sst>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90" t="s">
        <v>1586</v>
      </c>
      <c r="B470" s="102" t="s">
        <v>1587</v>
      </c>
      <c r="C470" s="92" t="n">
        <v>12</v>
      </c>
      <c r="D470" s="93" t="n">
        <v>2</v>
      </c>
      <c r="E470" s="107" t="s">
        <v>1588</v>
      </c>
      <c r="F470" s="95"/>
      <c r="G470" s="95"/>
      <c r="H470" s="95"/>
      <c r="I470" s="95"/>
      <c r="J470" s="95"/>
      <c r="K470" s="95"/>
      <c r="L470" s="95"/>
      <c r="M470" s="96" t="s">
        <v>1214</v>
      </c>
      <c r="N470" s="97" t="n">
        <v>7</v>
      </c>
      <c r="O470" s="96" t="s">
        <v>1211</v>
      </c>
      <c r="P470" s="98"/>
      <c r="Q470" s="99" t="s">
        <v>1215</v>
      </c>
      <c r="R470" s="100" t="n">
        <v>0</v>
      </c>
      <c r="S470" s="101" t="n">
        <v>19974</v>
      </c>
    </row>
    <row r="471" customFormat="false" ht="15" hidden="false" customHeight="false" outlineLevel="0" collapsed="false">
      <c r="A471" s="109" t="s">
        <v>1589</v>
      </c>
      <c r="B471" s="102" t="s">
        <v>1590</v>
      </c>
      <c r="C471" s="92" t="n">
        <v>13</v>
      </c>
      <c r="D471" s="93" t="n">
        <v>2</v>
      </c>
      <c r="E471" s="94" t="s">
        <v>1591</v>
      </c>
      <c r="F471" s="95" t="s">
        <v>1592</v>
      </c>
      <c r="G471" s="95"/>
      <c r="H471" s="95"/>
      <c r="I471" s="95"/>
      <c r="J471" s="95"/>
      <c r="K471" s="95"/>
      <c r="L471" s="95"/>
      <c r="M471" s="96" t="s">
        <v>1214</v>
      </c>
      <c r="N471" s="97" t="n">
        <v>7</v>
      </c>
      <c r="O471" s="96" t="s">
        <v>1211</v>
      </c>
      <c r="P471" s="98" t="s">
        <v>39</v>
      </c>
      <c r="Q471" s="99" t="s">
        <v>1215</v>
      </c>
      <c r="R471" s="100" t="n">
        <v>0</v>
      </c>
      <c r="S471" s="101" t="n">
        <v>29941</v>
      </c>
    </row>
    <row r="472" customFormat="false" ht="15" hidden="false" customHeight="false" outlineLevel="0" collapsed="false">
      <c r="A472" s="109" t="s">
        <v>1593</v>
      </c>
      <c r="B472" s="102" t="s">
        <v>1594</v>
      </c>
      <c r="C472" s="92" t="n">
        <v>12</v>
      </c>
      <c r="D472" s="93" t="n">
        <v>1</v>
      </c>
      <c r="E472" s="94" t="s">
        <v>1591</v>
      </c>
      <c r="F472" s="95" t="s">
        <v>1595</v>
      </c>
      <c r="G472" s="95"/>
      <c r="H472" s="95"/>
      <c r="I472" s="95"/>
      <c r="J472" s="95"/>
      <c r="K472" s="95"/>
      <c r="L472" s="95"/>
      <c r="M472" s="96" t="s">
        <v>1214</v>
      </c>
      <c r="N472" s="97" t="n">
        <v>7</v>
      </c>
      <c r="O472" s="96" t="s">
        <v>1211</v>
      </c>
      <c r="P472" s="98" t="s">
        <v>39</v>
      </c>
      <c r="Q472" s="99" t="s">
        <v>1215</v>
      </c>
      <c r="R472" s="100" t="n">
        <v>0</v>
      </c>
      <c r="S472" s="101" t="n">
        <v>1909</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B18" activeCellId="0" sqref="AB18"/>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13.2222222222222</v>
      </c>
      <c r="M5" s="323"/>
      <c r="N5" s="324" t="s">
        <v>69</v>
      </c>
      <c r="O5" s="325" t="n">
        <v>12.4285714285714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72</v>
      </c>
      <c r="C7" s="337" t="n">
        <v>28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v>
      </c>
      <c r="O8" s="354" t="n">
        <f aca="false">IF(ISERROR(AVERAGE(J23:J82)),"      -",AVERAGE(J23:J82))</f>
        <v>1.36363636363636</v>
      </c>
      <c r="P8" s="355"/>
      <c r="Q8" s="280"/>
      <c r="R8" s="280"/>
      <c r="S8" s="280"/>
      <c r="T8" s="280"/>
      <c r="U8" s="280"/>
      <c r="V8" s="280"/>
      <c r="W8" s="292"/>
      <c r="X8" s="293"/>
    </row>
    <row r="9" customFormat="false" ht="13.5" hidden="false" customHeight="false" outlineLevel="0" collapsed="false">
      <c r="A9" s="313" t="s">
        <v>2635</v>
      </c>
      <c r="B9" s="356" t="n">
        <v>0.12</v>
      </c>
      <c r="C9" s="357" t="n">
        <v>0.94</v>
      </c>
      <c r="D9" s="358"/>
      <c r="E9" s="358"/>
      <c r="F9" s="359" t="n">
        <f aca="false">($B9*$B$7+$C9*$C$7)/100</f>
        <v>0.3496</v>
      </c>
      <c r="G9" s="360"/>
      <c r="H9" s="361"/>
      <c r="I9" s="362"/>
      <c r="J9" s="363"/>
      <c r="K9" s="343"/>
      <c r="L9" s="364"/>
      <c r="M9" s="353" t="s">
        <v>2636</v>
      </c>
      <c r="N9" s="354" t="n">
        <f aca="false">IF(ISERROR(STDEVP(I23:I82)),"     -",STDEVP(I23:I82))</f>
        <v>6.35323825805678</v>
      </c>
      <c r="O9" s="354" t="n">
        <f aca="false">IF(ISERROR(STDEVP(J23:J82)),"      -",STDEVP(J23:J82))</f>
        <v>0.979120874024455</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13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11</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v>
      </c>
      <c r="L15" s="386"/>
      <c r="M15" s="407" t="s">
        <v>2654</v>
      </c>
      <c r="N15" s="408" t="n">
        <f aca="false">COUNTIF(J23:J82,"=1")</f>
        <v>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0.12</v>
      </c>
      <c r="C20" s="436" t="n">
        <f aca="false">SUM(C23:C82)</f>
        <v>0.935</v>
      </c>
      <c r="D20" s="437"/>
      <c r="E20" s="438" t="s">
        <v>2660</v>
      </c>
      <c r="F20" s="439" t="n">
        <f aca="false">($B20*$B$7+$C20*$C$7)/100</f>
        <v>0.3482</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0.0864</v>
      </c>
      <c r="C21" s="449" t="n">
        <f aca="false">C20*C7/100</f>
        <v>0.2618</v>
      </c>
      <c r="D21" s="381" t="str">
        <f aca="false">IF(F21=0,"",IF((ABS(F21-F19))&gt;(0.2*F21),CONCATENATE(" rec. par taxa (",F21," %) supérieur à 20 % !"),""))</f>
        <v> rec. par taxa (0,3482 %) supérieur à 20 % !</v>
      </c>
      <c r="E21" s="450" t="str">
        <f aca="false">IF(F21=0,"",IF((ABS(F21-F19))&gt;(0.2*F21),CONCATENATE("ATTENTION : écart entre rec. par grp (",F19," %) ","et",""),""))</f>
        <v>ATTENTION : écart entre rec. par grp (0 %) et</v>
      </c>
      <c r="F21" s="451" t="n">
        <f aca="false">B21+C21</f>
        <v>0.3482</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t="n">
        <v>0.01</v>
      </c>
      <c r="C23" s="476" t="n">
        <v>0.5</v>
      </c>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0.1472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0.1472</v>
      </c>
      <c r="R23" s="487" t="n">
        <f aca="false">IF(OR(ISTEXT(H23),Q23=0),"",IF(Q23&lt;0.1,1,IF(Q23&lt;1,2,IF(Q23&lt;10,3,IF(Q23&lt;50,4,IF(Q23&gt;=50,5,""))))))</f>
        <v>2</v>
      </c>
      <c r="S23" s="487" t="n">
        <f aca="false">IF(ISERROR(R23*I23),0,R23*I23)</f>
        <v>32</v>
      </c>
      <c r="T23" s="487" t="n">
        <f aca="false">IF(ISERROR(R23*I23*J23),0,R23*I23*J23)</f>
        <v>64</v>
      </c>
      <c r="U23" s="487" t="n">
        <f aca="false">IF(ISERROR(R23*J23),0,R23*J23)</f>
        <v>4</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122</v>
      </c>
      <c r="B24" s="494" t="n">
        <v>0.1</v>
      </c>
      <c r="C24" s="495" t="n">
        <v>0.3</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0.156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0.156</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180</v>
      </c>
      <c r="B25" s="494"/>
      <c r="C25" s="495" t="n">
        <v>0.005</v>
      </c>
      <c r="D25" s="477" t="str">
        <f aca="false">IF(ISERROR(VLOOKUP($A25,'liste reference'!$A$7:$D$904,2,0)),IF(ISERROR(VLOOKUP($A25,'liste reference'!$B$7:$D$904,1,0)),"",VLOOKUP($A25,'liste reference'!$B$7:$D$904,1,0)),VLOOKUP($A25,'liste reference'!$A$7:$D$904,2,0))</f>
        <v>Mougeotia sp.</v>
      </c>
      <c r="E25" s="496" t="e">
        <f aca="false">IF(D25="",0,VLOOKUP(D25,D$22:D24,1,0))</f>
        <v>#N/A</v>
      </c>
      <c r="F25" s="497" t="n">
        <f aca="false">($B25*$B$7+$C25*$C$7)/100</f>
        <v>0.0014</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Mougeotia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1146</v>
      </c>
      <c r="Q25" s="486" t="n">
        <f aca="false">IF(ISTEXT(H25),"",(B25*$B$7/100)+(C25*$C$7/100))</f>
        <v>0.0014</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X25" s="489"/>
      <c r="Y25" s="490" t="str">
        <f aca="false">IF(A25="new.cod","NEWCOD",IF(AND((Z25=""),ISTEXT(A25)),A25,IF(Z25="","",INDEX('liste reference'!$A$8:$A$904,Z25))))</f>
        <v>MOUSPX</v>
      </c>
      <c r="Z25" s="280" t="n">
        <f aca="false">IF(ISERROR(MATCH(A25,'liste reference'!$A$8:$A$904,0)),IF(ISERROR(MATCH(A25,'liste reference'!$B$8:$B$904,0)),"",(MATCH(A25,'liste reference'!$B$8:$B$904,0))),(MATCH(A25,'liste reference'!$A$8:$A$904,0)))</f>
        <v>43</v>
      </c>
      <c r="AA25" s="491"/>
      <c r="AB25" s="492"/>
      <c r="AC25" s="492"/>
      <c r="BB25" s="280" t="n">
        <f aca="false">IF(A25="","",1)</f>
        <v>1</v>
      </c>
    </row>
    <row r="26" customFormat="false" ht="12.75" hidden="false" customHeight="false" outlineLevel="0" collapsed="false">
      <c r="A26" s="493" t="s">
        <v>248</v>
      </c>
      <c r="B26" s="494"/>
      <c r="C26" s="495" t="n">
        <v>0.03</v>
      </c>
      <c r="D26" s="477" t="str">
        <f aca="false">IF(ISERROR(VLOOKUP($A26,'liste reference'!$A$7:$D$904,2,0)),IF(ISERROR(VLOOKUP($A26,'liste reference'!$B$7:$D$904,1,0)),"",VLOOKUP($A26,'liste reference'!$B$7:$D$904,1,0)),VLOOKUP($A26,'liste reference'!$A$7:$D$904,2,0))</f>
        <v>Schizothrix sp.</v>
      </c>
      <c r="E26" s="496" t="e">
        <f aca="false">IF(D26="",0,VLOOKUP(D26,D$22:D25,1,0))</f>
        <v>#N/A</v>
      </c>
      <c r="F26" s="497" t="n">
        <f aca="false">($B26*$B$7+$C26*$C$7)/100</f>
        <v>0.0084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Schizothrix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6436</v>
      </c>
      <c r="Q26" s="486" t="n">
        <f aca="false">IF(ISTEXT(H26),"",(B26*$B$7/100)+(C26*$C$7/100))</f>
        <v>0.0084</v>
      </c>
      <c r="R26" s="487" t="n">
        <f aca="false">IF(OR(ISTEXT(H26),Q26=0),"",IF(Q26&lt;0.1,1,IF(Q26&lt;1,2,IF(Q26&lt;10,3,IF(Q26&lt;50,4,IF(Q26&gt;=50,5,""))))))</f>
        <v>1</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SCZSPX</v>
      </c>
      <c r="Z26" s="280" t="n">
        <f aca="false">IF(ISERROR(MATCH(A26,'liste reference'!$A$8:$A$904,0)),IF(ISERROR(MATCH(A26,'liste reference'!$B$8:$B$904,0)),"",(MATCH(A26,'liste reference'!$B$8:$B$904,0))),(MATCH(A26,'liste reference'!$A$8:$A$904,0)))</f>
        <v>65</v>
      </c>
      <c r="AA26" s="491"/>
      <c r="AB26" s="492"/>
      <c r="AC26" s="492"/>
      <c r="BB26" s="280" t="n">
        <f aca="false">IF(A26="","",1)</f>
        <v>1</v>
      </c>
    </row>
    <row r="27" customFormat="false" ht="12.75" hidden="false" customHeight="false" outlineLevel="0" collapsed="false">
      <c r="A27" s="493" t="s">
        <v>258</v>
      </c>
      <c r="B27" s="494" t="n">
        <v>0.01</v>
      </c>
      <c r="C27" s="495" t="n">
        <v>0.01</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0.01</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0.01</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293</v>
      </c>
      <c r="B28" s="494"/>
      <c r="C28" s="495" t="n">
        <v>0.01</v>
      </c>
      <c r="D28" s="477" t="str">
        <f aca="false">IF(ISERROR(VLOOKUP($A28,'liste reference'!$A$7:$D$904,2,0)),IF(ISERROR(VLOOKUP($A28,'liste reference'!$B$7:$D$904,1,0)),"",VLOOKUP($A28,'liste reference'!$B$7:$D$904,1,0)),VLOOKUP($A28,'liste reference'!$A$7:$D$904,2,0))</f>
        <v>Tolypothrix sp.</v>
      </c>
      <c r="E28" s="496" t="e">
        <f aca="false">IF(D28="",0,VLOOKUP(D28,D$22:D27,1,0))</f>
        <v>#N/A</v>
      </c>
      <c r="F28" s="497" t="n">
        <f aca="false">($B28*$B$7+$C28*$C$7)/100</f>
        <v>0.0028</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Tolypothrix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6304</v>
      </c>
      <c r="Q28" s="486" t="n">
        <f aca="false">IF(ISTEXT(H28),"",(B28*$B$7/100)+(C28*$C$7/100))</f>
        <v>0.0028</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TOYSPX</v>
      </c>
      <c r="Z28" s="280" t="n">
        <f aca="false">IF(ISERROR(MATCH(A28,'liste reference'!$A$8:$A$904,0)),IF(ISERROR(MATCH(A28,'liste reference'!$B$8:$B$904,0)),"",(MATCH(A28,'liste reference'!$B$8:$B$904,0))),(MATCH(A28,'liste reference'!$A$8:$A$904,0)))</f>
        <v>79</v>
      </c>
      <c r="AA28" s="491"/>
      <c r="AB28" s="492"/>
      <c r="AC28" s="492"/>
      <c r="BB28" s="280" t="n">
        <f aca="false">IF(A28="","",1)</f>
        <v>1</v>
      </c>
    </row>
    <row r="29" customFormat="false" ht="12.75" hidden="false" customHeight="false" outlineLevel="0" collapsed="false">
      <c r="A29" s="493" t="s">
        <v>670</v>
      </c>
      <c r="B29" s="494"/>
      <c r="C29" s="495" t="n">
        <v>0.01</v>
      </c>
      <c r="D29" s="477" t="str">
        <f aca="false">IF(ISERROR(VLOOKUP($A29,'liste reference'!$A$7:$D$904,2,0)),IF(ISERROR(VLOOKUP($A29,'liste reference'!$B$7:$D$904,1,0)),"",VLOOKUP($A29,'liste reference'!$B$7:$D$904,1,0)),VLOOKUP($A29,'liste reference'!$A$7:$D$904,2,0))</f>
        <v>Brachythecium rivulare</v>
      </c>
      <c r="E29" s="496" t="e">
        <f aca="false">IF(D29="",0,VLOOKUP(D29,D$22:D28,1,0))</f>
        <v>#N/A</v>
      </c>
      <c r="F29" s="497" t="n">
        <f aca="false">($B29*$B$7+$C29*$C$7)/100</f>
        <v>0.0028</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Brachythecium rivulare</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1260</v>
      </c>
      <c r="Q29" s="486" t="n">
        <f aca="false">IF(ISTEXT(H29),"",(B29*$B$7/100)+(C29*$C$7/100))</f>
        <v>0.0028</v>
      </c>
      <c r="R29" s="487" t="n">
        <f aca="false">IF(OR(ISTEXT(H29),Q29=0),"",IF(Q29&lt;0.1,1,IF(Q29&lt;1,2,IF(Q29&lt;10,3,IF(Q29&lt;50,4,IF(Q29&gt;=50,5,""))))))</f>
        <v>1</v>
      </c>
      <c r="S29" s="487" t="n">
        <f aca="false">IF(ISERROR(R29*I29),0,R29*I29)</f>
        <v>15</v>
      </c>
      <c r="T29" s="487" t="n">
        <f aca="false">IF(ISERROR(R29*I29*J29),0,R29*I29*J29)</f>
        <v>30</v>
      </c>
      <c r="U29" s="499" t="n">
        <f aca="false">IF(ISERROR(R29*J29),0,R29*J29)</f>
        <v>2</v>
      </c>
      <c r="V29" s="488" t="str">
        <f aca="false">IF(AND(A29="",F29=0),"",IF(F29=0,"Il manque le(s) % de rec. !",""))</f>
        <v/>
      </c>
      <c r="W29" s="489"/>
      <c r="Y29" s="490" t="str">
        <f aca="false">IF(A29="new.cod","NEWCOD",IF(AND((Z29=""),ISTEXT(A29)),A29,IF(Z29="","",INDEX('liste reference'!$A$8:$A$904,Z29))))</f>
        <v>BRARIV</v>
      </c>
      <c r="Z29" s="280" t="n">
        <f aca="false">IF(ISERROR(MATCH(A29,'liste reference'!$A$8:$A$904,0)),IF(ISERROR(MATCH(A29,'liste reference'!$B$8:$B$904,0)),"",(MATCH(A29,'liste reference'!$B$8:$B$904,0))),(MATCH(A29,'liste reference'!$A$8:$A$904,0)))</f>
        <v>155</v>
      </c>
      <c r="AA29" s="491"/>
      <c r="AB29" s="492"/>
      <c r="AC29" s="492"/>
      <c r="BB29" s="280" t="n">
        <f aca="false">IF(A29="","",1)</f>
        <v>1</v>
      </c>
    </row>
    <row r="30" customFormat="false" ht="12.75" hidden="false" customHeight="false" outlineLevel="0" collapsed="false">
      <c r="A30" s="493" t="s">
        <v>764</v>
      </c>
      <c r="B30" s="494"/>
      <c r="C30" s="495" t="n">
        <v>0.01</v>
      </c>
      <c r="D30" s="477" t="str">
        <f aca="false">IF(ISERROR(VLOOKUP($A30,'liste reference'!$A$7:$D$904,2,0)),IF(ISERROR(VLOOKUP($A30,'liste reference'!$B$7:$D$904,1,0)),"",VLOOKUP($A30,'liste reference'!$B$7:$D$904,1,0)),VLOOKUP($A30,'liste reference'!$A$7:$D$904,2,0))</f>
        <v>Cratoneuron filicinum</v>
      </c>
      <c r="E30" s="496" t="e">
        <f aca="false">IF(D30="",0,VLOOKUP(D30,D$22:D29,1,0))</f>
        <v>#N/A</v>
      </c>
      <c r="F30" s="497" t="n">
        <f aca="false">($B30*$B$7+$C30*$C$7)/100</f>
        <v>0.0028</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18</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Cratoneuron filicinum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1233</v>
      </c>
      <c r="Q30" s="486" t="n">
        <f aca="false">IF(ISTEXT(H30),"",(B30*$B$7/100)+(C30*$C$7/100))</f>
        <v>0.0028</v>
      </c>
      <c r="R30" s="487" t="n">
        <f aca="false">IF(OR(ISTEXT(H30),Q30=0),"",IF(Q30&lt;0.1,1,IF(Q30&lt;1,2,IF(Q30&lt;10,3,IF(Q30&lt;50,4,IF(Q30&gt;=50,5,""))))))</f>
        <v>1</v>
      </c>
      <c r="S30" s="487" t="n">
        <f aca="false">IF(ISERROR(R30*I30),0,R30*I30)</f>
        <v>18</v>
      </c>
      <c r="T30" s="487" t="n">
        <f aca="false">IF(ISERROR(R30*I30*J30),0,R30*I30*J30)</f>
        <v>54</v>
      </c>
      <c r="U30" s="499" t="n">
        <f aca="false">IF(ISERROR(R30*J30),0,R30*J30)</f>
        <v>3</v>
      </c>
      <c r="V30" s="488" t="str">
        <f aca="false">IF(AND(A30="",F30=0),"",IF(F30=0,"Il manque le(s) % de rec. !",""))</f>
        <v/>
      </c>
      <c r="W30" s="489"/>
      <c r="Y30" s="490" t="str">
        <f aca="false">IF(A30="new.cod","NEWCOD",IF(AND((Z30=""),ISTEXT(A30)),A30,IF(Z30="","",INDEX('liste reference'!$A$8:$A$904,Z30))))</f>
        <v>CRAFIL</v>
      </c>
      <c r="Z30" s="280" t="n">
        <f aca="false">IF(ISERROR(MATCH(A30,'liste reference'!$A$8:$A$904,0)),IF(ISERROR(MATCH(A30,'liste reference'!$B$8:$B$904,0)),"",(MATCH(A30,'liste reference'!$B$8:$B$904,0))),(MATCH(A30,'liste reference'!$A$8:$A$904,0)))</f>
        <v>178</v>
      </c>
      <c r="AA30" s="491"/>
      <c r="AB30" s="492"/>
      <c r="AC30" s="492"/>
      <c r="BB30" s="280" t="n">
        <f aca="false">IF(A30="","",1)</f>
        <v>1</v>
      </c>
    </row>
    <row r="31" customFormat="false" ht="12.75" hidden="false" customHeight="false" outlineLevel="0" collapsed="false">
      <c r="A31" s="493" t="s">
        <v>852</v>
      </c>
      <c r="B31" s="494"/>
      <c r="C31" s="495" t="n">
        <v>0.02</v>
      </c>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0.0056</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0.0056</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500"/>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c r="AB31" s="492"/>
      <c r="AC31" s="492"/>
      <c r="BB31" s="280" t="n">
        <f aca="false">IF(A31="","",1)</f>
        <v>1</v>
      </c>
    </row>
    <row r="32" customFormat="false" ht="12.75" hidden="false" customHeight="false" outlineLevel="0" collapsed="false">
      <c r="A32" s="493" t="s">
        <v>1153</v>
      </c>
      <c r="B32" s="494"/>
      <c r="C32" s="495" t="n">
        <v>0.005</v>
      </c>
      <c r="D32" s="477" t="str">
        <f aca="false">IF(ISERROR(VLOOKUP($A32,'liste reference'!$A$7:$D$904,2,0)),IF(ISERROR(VLOOKUP($A32,'liste reference'!$B$7:$D$904,1,0)),"",VLOOKUP($A32,'liste reference'!$B$7:$D$904,1,0)),VLOOKUP($A32,'liste reference'!$A$7:$D$904,2,0))</f>
        <v>Equisetum arvense</v>
      </c>
      <c r="E32" s="496" t="e">
        <f aca="false">IF(D32="",0,VLOOKUP(D32,D$22:D31,1,0))</f>
        <v>#N/A</v>
      </c>
      <c r="F32" s="497" t="n">
        <f aca="false">($B32*$B$7+$C32*$C$7)/100</f>
        <v>0.0014</v>
      </c>
      <c r="G32" s="479" t="str">
        <f aca="false">IF(A32="","",IF(ISERROR(VLOOKUP($A32,'liste reference'!$A$7:$P$904,13,0)),IF(ISERROR(VLOOKUP($A32,'liste reference'!$B$7:$P$904,12,0)),"    -",VLOOKUP($A32,'liste reference'!$B$7:$P$904,12,0)),VLOOKUP($A32,'liste reference'!$A$7:$P$904,13,0)))</f>
        <v>PTE</v>
      </c>
      <c r="H32" s="480" t="n">
        <f aca="false">IF(A32="","x",IF(ISERROR(VLOOKUP($A32,'liste reference'!$A$8:$P$904,14,0)),IF(ISERROR(VLOOKUP($A32,'liste reference'!$B$8:$P$904,13,0)),"x",VLOOKUP($A32,'liste reference'!$B$8:$P$904,13,0)),VLOOKUP($A32,'liste reference'!$A$8:$P$904,14,0)))</f>
        <v>6</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arvense</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1384</v>
      </c>
      <c r="Q32" s="486" t="n">
        <f aca="false">IF(ISTEXT(H32),"",(B32*$B$7/100)+(C32*$C$7/100))</f>
        <v>0.0014</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EQUARV</v>
      </c>
      <c r="Z32" s="280" t="n">
        <f aca="false">IF(ISERROR(MATCH(A32,'liste reference'!$A$8:$A$904,0)),IF(ISERROR(MATCH(A32,'liste reference'!$B$8:$B$904,0)),"",(MATCH(A32,'liste reference'!$B$8:$B$904,0))),(MATCH(A32,'liste reference'!$A$8:$A$904,0)))</f>
        <v>278</v>
      </c>
      <c r="AA32" s="491"/>
      <c r="AB32" s="492"/>
      <c r="AC32" s="492"/>
      <c r="BB32" s="280" t="n">
        <f aca="false">IF(A32="","",1)</f>
        <v>1</v>
      </c>
    </row>
    <row r="33" customFormat="false" ht="12.75" hidden="false" customHeight="false" outlineLevel="0" collapsed="false">
      <c r="A33" s="493" t="s">
        <v>2002</v>
      </c>
      <c r="B33" s="494"/>
      <c r="C33" s="495" t="n">
        <v>0.01</v>
      </c>
      <c r="D33" s="477" t="str">
        <f aca="false">IF(ISERROR(VLOOKUP($A33,'liste reference'!$A$7:$D$904,2,0)),IF(ISERROR(VLOOKUP($A33,'liste reference'!$B$7:$D$904,1,0)),"",VLOOKUP($A33,'liste reference'!$B$7:$D$904,1,0)),VLOOKUP($A33,'liste reference'!$A$7:$D$904,2,0))</f>
        <v>Phragmites australis</v>
      </c>
      <c r="E33" s="496" t="e">
        <f aca="false">IF(D33="",0,VLOOKUP(D33,D$22:D32,1,0))</f>
        <v>#N/A</v>
      </c>
      <c r="F33" s="497" t="n">
        <f aca="false">($B33*$B$7+$C33*$C$7)/100</f>
        <v>0.0028</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9</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Phragmites australis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1579</v>
      </c>
      <c r="Q33" s="486" t="n">
        <f aca="false">IF(ISTEXT(H33),"",(B33*$B$7/100)+(C33*$C$7/100))</f>
        <v>0.0028</v>
      </c>
      <c r="R33" s="487" t="n">
        <f aca="false">IF(OR(ISTEXT(H33),Q33=0),"",IF(Q33&lt;0.1,1,IF(Q33&lt;1,2,IF(Q33&lt;10,3,IF(Q33&lt;50,4,IF(Q33&gt;=50,5,""))))))</f>
        <v>1</v>
      </c>
      <c r="S33" s="487" t="n">
        <f aca="false">IF(ISERROR(R33*I33),0,R33*I33)</f>
        <v>9</v>
      </c>
      <c r="T33" s="487" t="n">
        <f aca="false">IF(ISERROR(R33*I33*J33),0,R33*I33*J33)</f>
        <v>18</v>
      </c>
      <c r="U33" s="499" t="n">
        <f aca="false">IF(ISERROR(R33*J33),0,R33*J33)</f>
        <v>2</v>
      </c>
      <c r="V33" s="488" t="str">
        <f aca="false">IF(AND(A33="",F33=0),"",IF(F33=0,"Il manque le(s) % de rec. !",""))</f>
        <v/>
      </c>
      <c r="W33" s="489"/>
      <c r="Y33" s="490" t="str">
        <f aca="false">IF(A33="new.cod","NEWCOD",IF(AND((Z33=""),ISTEXT(A33)),A33,IF(Z33="","",INDEX('liste reference'!$A$8:$A$904,Z33))))</f>
        <v>PHRAUS</v>
      </c>
      <c r="Z33" s="280" t="n">
        <f aca="false">IF(ISERROR(MATCH(A33,'liste reference'!$A$8:$A$904,0)),IF(ISERROR(MATCH(A33,'liste reference'!$B$8:$B$904,0)),"",(MATCH(A33,'liste reference'!$B$8:$B$904,0))),(MATCH(A33,'liste reference'!$A$8:$A$904,0)))</f>
        <v>635</v>
      </c>
      <c r="AA33" s="491"/>
      <c r="AB33" s="492"/>
      <c r="AC33" s="492"/>
      <c r="BB33" s="280" t="n">
        <f aca="false">IF(A33="","",1)</f>
        <v>1</v>
      </c>
    </row>
    <row r="34" customFormat="false" ht="12.75" hidden="false" customHeight="false" outlineLevel="0" collapsed="false">
      <c r="A34" s="493" t="s">
        <v>2685</v>
      </c>
      <c r="B34" s="494"/>
      <c r="C34" s="495" t="n">
        <v>0.005</v>
      </c>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0.0014</v>
      </c>
      <c r="G34" s="479" t="str">
        <f aca="false">IF(A34="","",IF(ISERROR(VLOOKUP($A34,'liste reference'!$A$7:$P$904,13,0)),IF(ISERROR(VLOOKUP($A34,'liste reference'!$B$7:$P$904,12,0)),"    -",VLOOKUP($A34,'liste reference'!$B$7:$P$904,12,0)),VLOOKUP($A34,'liste reference'!$A$7:$P$904,13,0)))</f>
        <v>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ramosissimum</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No</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NEWCOD</v>
      </c>
      <c r="Z34" s="280" t="str">
        <f aca="false">IF(ISERROR(MATCH(A34,'liste reference'!$A$8:$A$904,0)),IF(ISERROR(MATCH(A34,'liste reference'!$B$8:$B$904,0)),"",(MATCH(A34,'liste reference'!$B$8:$B$904,0))),(MATCH(A34,'liste reference'!$A$8:$A$904,0)))</f>
        <v/>
      </c>
      <c r="AA34" s="491"/>
      <c r="AB34" s="492" t="s">
        <v>2686</v>
      </c>
      <c r="AC34" s="492"/>
      <c r="BB34" s="280" t="n">
        <f aca="false">IF(A34="","",1)</f>
        <v>1</v>
      </c>
    </row>
    <row r="35" customFormat="false" ht="12.75" hidden="false" customHeight="false" outlineLevel="0" collapsed="false">
      <c r="A35" s="493" t="s">
        <v>2685</v>
      </c>
      <c r="B35" s="494"/>
      <c r="C35" s="495" t="n">
        <v>0.02</v>
      </c>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0.0056</v>
      </c>
      <c r="G35" s="479" t="str">
        <f aca="false">IF(A35="","",IF(ISERROR(VLOOKUP($A35,'liste reference'!$A$7:$P$904,13,0)),IF(ISERROR(VLOOKUP($A35,'liste reference'!$B$7:$P$904,12,0)),"    -",VLOOKUP($A35,'liste reference'!$B$7:$P$904,12,0)),VLOOKUP($A35,'liste reference'!$A$7:$P$904,13,0)))</f>
        <v>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Bryum bicolor</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No</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NEWCOD</v>
      </c>
      <c r="Z35" s="280" t="str">
        <f aca="false">IF(ISERROR(MATCH(A35,'liste reference'!$A$8:$A$904,0)),IF(ISERROR(MATCH(A35,'liste reference'!$B$8:$B$904,0)),"",(MATCH(A35,'liste reference'!$B$8:$B$904,0))),(MATCH(A35,'liste reference'!$A$8:$A$904,0)))</f>
        <v/>
      </c>
      <c r="AA35" s="491"/>
      <c r="AB35" s="492" t="s">
        <v>2687</v>
      </c>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Toulourenc</v>
      </c>
      <c r="B84" s="529" t="str">
        <f aca="false">C3</f>
        <v>Saint Leger du Ventoux</v>
      </c>
      <c r="C84" s="530" t="n">
        <f aca="false">A4</f>
        <v>41871</v>
      </c>
      <c r="D84" s="531" t="n">
        <f aca="false">IF(ISERROR(SUM($T$23:$T$82)/SUM($U$23:$U$82)),"",SUM($T$23:$T$82)/SUM($U$23:$U$82))</f>
        <v>13.2222222222222</v>
      </c>
      <c r="E84" s="532" t="n">
        <f aca="false">N13</f>
        <v>13</v>
      </c>
      <c r="F84" s="529" t="n">
        <f aca="false">N14</f>
        <v>11</v>
      </c>
      <c r="G84" s="529" t="n">
        <f aca="false">N15</f>
        <v>2</v>
      </c>
      <c r="H84" s="529" t="n">
        <f aca="false">N16</f>
        <v>5</v>
      </c>
      <c r="I84" s="529" t="n">
        <f aca="false">N17</f>
        <v>1</v>
      </c>
      <c r="J84" s="533" t="n">
        <f aca="false">N8</f>
        <v>9</v>
      </c>
      <c r="K84" s="531" t="n">
        <f aca="false">N9</f>
        <v>6.35323825805678</v>
      </c>
      <c r="L84" s="532" t="n">
        <f aca="false">N10</f>
        <v>0</v>
      </c>
      <c r="M84" s="532" t="n">
        <f aca="false">N11</f>
        <v>18</v>
      </c>
      <c r="N84" s="531" t="n">
        <f aca="false">O8</f>
        <v>1.36363636363636</v>
      </c>
      <c r="O84" s="531" t="n">
        <f aca="false">O9</f>
        <v>0.979120874024455</v>
      </c>
      <c r="P84" s="532" t="n">
        <f aca="false">O10</f>
        <v>0</v>
      </c>
      <c r="Q84" s="532" t="n">
        <f aca="false">O11</f>
        <v>3</v>
      </c>
      <c r="R84" s="532" t="n">
        <f aca="false">F21</f>
        <v>0.3482</v>
      </c>
      <c r="S84" s="532" t="n">
        <f aca="false">K11</f>
        <v>0</v>
      </c>
      <c r="T84" s="532" t="n">
        <f aca="false">K12</f>
        <v>6</v>
      </c>
      <c r="U84" s="532" t="n">
        <f aca="false">K13</f>
        <v>3</v>
      </c>
      <c r="V84" s="534" t="n">
        <f aca="false">K14</f>
        <v>1</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32</v>
      </c>
      <c r="T87" s="280"/>
      <c r="U87" s="280"/>
      <c r="V87" s="280"/>
    </row>
    <row r="88" customFormat="false" ht="12.75" hidden="true" customHeight="false" outlineLevel="0" collapsed="false">
      <c r="P88" s="280"/>
      <c r="Q88" s="280" t="s">
        <v>2691</v>
      </c>
      <c r="R88" s="280"/>
      <c r="S88" s="488" t="n">
        <f aca="false">VLOOKUP((S87),($S$23:$U$82),2,0)</f>
        <v>64</v>
      </c>
      <c r="T88" s="280"/>
      <c r="U88" s="280"/>
      <c r="V88" s="280"/>
    </row>
    <row r="89" customFormat="false" ht="12.75" hidden="true" customHeight="false" outlineLevel="0" collapsed="false">
      <c r="Q89" s="280" t="s">
        <v>2692</v>
      </c>
      <c r="R89" s="280"/>
      <c r="S89" s="488" t="n">
        <f aca="false">VLOOKUP((S87),($S$23:$U$82),3,0)</f>
        <v>4</v>
      </c>
      <c r="T89" s="280"/>
    </row>
    <row r="90" customFormat="false" ht="12.75" hidden="false" customHeight="false" outlineLevel="0" collapsed="false">
      <c r="Q90" s="280" t="s">
        <v>2693</v>
      </c>
      <c r="R90" s="280"/>
      <c r="S90" s="538" t="n">
        <f aca="false">IF(ISERROR(SUM($T$23:$T$82)/SUM($U$23:$U$82)),"",(SUM($T$23:$T$82)-S88)/(SUM($U$23:$U$82)-S89))</f>
        <v>12.4285714285714</v>
      </c>
      <c r="T90" s="280"/>
    </row>
    <row r="91" customFormat="false" ht="12.75" hidden="false" customHeight="false" outlineLevel="0" collapsed="false">
      <c r="Q91" s="487" t="s">
        <v>2694</v>
      </c>
      <c r="R91" s="487"/>
      <c r="S91" s="487" t="str">
        <f aca="false">INDEX('liste reference'!$A$8:$A$904,$T$91)</f>
        <v>BATSPX</v>
      </c>
      <c r="T91" s="280" t="n">
        <f aca="false">IF(ISERROR(MATCH($S$93,'liste reference'!$A$8:$A$904,0)),MATCH($S$93,'liste reference'!$B$8:$B$904,0),(MATCH($S$93,'liste reference'!$A$8:$A$904,0)))</f>
        <v>7</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str">
        <f aca="false">INDEX($A$23:$A$82,$S$92)</f>
        <v>BATSPX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2638</v>
      </c>
    </row>
    <row r="36" customFormat="false" ht="15" hidden="false" customHeight="false" outlineLevel="0" collapsed="false">
      <c r="A36" s="567" t="s">
        <v>320</v>
      </c>
      <c r="B36" s="566" t="s">
        <v>321</v>
      </c>
      <c r="C36" s="568"/>
      <c r="D36" s="569"/>
      <c r="F36" s="585" t="s">
        <v>2720</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1590</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1593</v>
      </c>
      <c r="B684" s="566" t="s">
        <v>1594</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1586</v>
      </c>
      <c r="B686" s="566" t="s">
        <v>1587</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2015-04-13T08:58:36Z</dcterms:modified>
  <cp:revision>0</cp:revision>
  <dc:subject/>
  <dc:title>Feuille d'aide au calcul de l'IBMR</dc:title>
</cp:coreProperties>
</file>