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ras des Armeniers" sheetId="6" state="visible" r:id="rId8"/>
    <sheet name="modele" sheetId="7" state="hidden" r:id="rId9"/>
    <sheet name="liste codes réf" sheetId="8" state="hidden" r:id="rId10"/>
  </sheets>
  <definedNames>
    <definedName function="false" hidden="false" localSheetId="5" name="_xlnm.Print_Area" vbProcedure="false">'Bras des Armeniers'!$A$1:$O$82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'Bras des Armeniers'!$A$23:$J$84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<sst xmlns="http://schemas.openxmlformats.org/spreadsheetml/2006/main" count="7363" uniqueCount="2730">
  <si>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</si>
  <si>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</si>
  <si>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</si>
  <si>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</si>
  <si>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</si>
  <si>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</si>
  <si>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</si>
  <si>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</si>
  <si>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</si>
  <si>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</si>
  <si>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</si>
  <si>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</si>
  <si>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</si>
  <si>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</si>
  <si>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</si>
  <si>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</si>
  <si>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</si>
  <si>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</si>
  <si>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</si>
  <si>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</si>
  <si>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</si>
  <si>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</si>
  <si>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</si>
  <si>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</si>
  <si>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</si>
  <si>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</si>
  <si>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</si>
  <si>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</si>
  <si>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</si>
  <si>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</si>
  <si>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</si>
  <si>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</si>
  <si>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</si>
  <si>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</si>
  <si>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</si>
  <si>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</si>
  <si>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</si>
  <si>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</si>
  <si>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</si>
  <si>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</si>
  <si>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</si>
  <si>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</si>
  <si>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</si>
  <si>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</si>
  <si>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</si>
  <si>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</si>
  <si>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</si>
  <si>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</si>
  <si>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</si>
  <si>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</si>
  <si>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</si>
  <si>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</si>
  <si>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</si>
  <si>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</si>
  <si>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</si>
  <si>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</si>
  <si>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</si>
  <si>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</si>
  <si>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</si>
  <si>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</si>
  <si>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</si>
  <si>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</si>
  <si>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</si>
  <si>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</si>
  <si>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</si>
  <si>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</si>
  <si>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</si>
  <si>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</si>
  <si>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</si>
  <si>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</si>
  <si>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</si>
  <si>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</si>
  <si>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</si>
  <si>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</si>
  <si>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</si>
  <si>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</si>
  <si>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</si>
  <si>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</si>
  <si>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</si>
  <si>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</si>
  <si>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</si>
  <si>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</si>
  <si>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</si>
  <si>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</si>
  <si>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</si>
  <si>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</si>
  <si>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</si>
  <si>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</si>
  <si>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</si>
  <si>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</si>
  <si>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</si>
  <si>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</si>
  <si>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</si>
  <si>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</si>
  <si>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</si>
  <si>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</si>
  <si>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</si>
  <si>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</si>
  <si>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</si>
  <si>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</si>
  <si>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</si>
  <si>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</si>
  <si>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</si>
  <si>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</si>
  <si>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</si>
  <si>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</si>
  <si>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</si>
  <si>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</si>
  <si>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</si>
  <si>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</si>
  <si>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</si>
  <si>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</si>
  <si>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</si>
  <si>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</si>
  <si>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</si>
  <si>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</si>
  <si>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</si>
  <si>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</si>
  <si>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</si>
  <si>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</si>
  <si>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</si>
  <si>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</si>
  <si>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</si>
  <si>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</si>
  <si>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</si>
  <si>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</si>
  <si>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</si>
  <si>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</si>
  <si>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</si>
  <si>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</si>
  <si>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</si>
  <si>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</si>
  <si>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</si>
  <si>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</si>
  <si>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</si>
  <si>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</si>
  <si>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</si>
  <si>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</si>
  <si>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</si>
  <si>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</si>
  <si>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</si>
  <si>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</si>
  <si>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</si>
  <si>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</si>
  <si>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</si>
  <si>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</si>
  <si>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</si>
  <si>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</si>
  <si>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</si>
  <si>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</si>
  <si>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</si>
  <si>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</si>
  <si>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</si>
  <si>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</si>
  <si>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</si>
  <si>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</si>
  <si>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</si>
  <si>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</si>
  <si>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</si>
  <si>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</si>
  <si>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</si>
  <si>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</si>
  <si>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</si>
  <si>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</si>
  <si>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</si>
  <si>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</si>
  <si>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</si>
  <si>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</si>
  <si>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</si>
  <si>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</si>
  <si>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</si>
  <si>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</si>
  <si>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</si>
  <si>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</si>
  <si>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</si>
  <si>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</si>
  <si>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</si>
  <si>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</si>
  <si>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</si>
  <si>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</si>
  <si>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</si>
  <si>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</si>
  <si>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</si>
  <si>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</si>
  <si>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</si>
  <si>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</si>
  <si>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</si>
  <si>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</si>
  <si>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</si>
  <si>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</si>
  <si>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</si>
  <si>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</si>
  <si>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</si>
  <si>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</si>
  <si>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</si>
  <si>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</si>
  <si>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</si>
  <si>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</si>
  <si>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</si>
  <si>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</si>
  <si>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</si>
  <si>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</si>
  <si>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</si>
  <si>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</si>
  <si>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</si>
  <si>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</si>
  <si>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</si>
  <si>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</si>
  <si>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</si>
  <si>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</si>
  <si>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</si>
  <si>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</si>
  <si>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</si>
  <si>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</si>
  <si>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</si>
  <si>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</si>
  <si>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</si>
  <si>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</si>
  <si>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</si>
  <si>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</si>
  <si>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</si>
  <si>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</si>
  <si>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</si>
  <si>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</si>
  <si>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</si>
  <si>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</si>
  <si>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</si>
  <si>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</si>
  <si>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</si>
  <si>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</si>
  <si>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</si>
  <si>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</si>
  <si>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</si>
  <si>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</si>
  <si>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</si>
  <si>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</si>
  <si>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</si>
  <si>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</si>
  <si>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</si>
  <si>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</si>
  <si>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</si>
  <si>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</si>
  <si>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</si>
  <si>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</si>
  <si>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</si>
  <si>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</si>
  <si>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</si>
  <si>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</si>
  <si>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</si>
  <si>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</si>
  <si>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</si>
  <si>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</si>
  <si>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</si>
  <si>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</si>
  <si>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</si>
  <si>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</si>
  <si>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</si>
  <si>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</si>
  <si>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</si>
  <si>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</si>
  <si>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</si>
  <si>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</si>
  <si>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</si>
  <si>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</si>
  <si>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</si>
  <si>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</si>
  <si>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</si>
  <si>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</si>
  <si>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</si>
  <si>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</si>
  <si>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</si>
  <si>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</si>
  <si>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</si>
  <si>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</si>
  <si>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</si>
  <si>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</si>
  <si>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</si>
  <si>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</si>
  <si>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</si>
  <si>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</si>
  <si>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</si>
  <si>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</si>
  <si>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</si>
  <si>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</si>
  <si>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</si>
  <si>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</si>
  <si>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</si>
  <si>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</si>
  <si>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</si>
  <si>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</si>
  <si>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</si>
  <si>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</si>
  <si>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</si>
  <si>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</si>
  <si>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</si>
  <si>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</si>
  <si>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</si>
  <si>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</si>
  <si>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</si>
  <si>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</si>
  <si>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</si>
  <si>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</si>
  <si>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</si>
  <si>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</si>
  <si>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</si>
  <si>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</si>
  <si>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</si>
  <si>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</si>
  <si>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</si>
  <si>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</si>
  <si>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</si>
  <si>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</si>
  <si>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</si>
  <si>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</si>
  <si>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</si>
  <si>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</si>
  <si>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</si>
  <si>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</si>
  <si>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</si>
  <si>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</si>
  <si>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</si>
  <si>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</si>
  <si>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</si>
  <si>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</si>
  <si>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</si>
  <si>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</si>
  <si>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</si>
  <si>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</si>
  <si>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</si>
  <si>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</si>
  <si>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</si>
  <si>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</si>
  <si>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</si>
  <si>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</si>
  <si>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</si>
  <si>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</si>
  <si>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</si>
  <si>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</si>
  <si>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</si>
  <si>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</si>
  <si>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</si>
  <si>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</si>
  <si>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</si>
  <si>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</si>
  <si>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</si>
  <si>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</si>
  <si>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</si>
  <si>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</si>
  <si>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</si>
  <si>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</si>
  <si>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</si>
  <si>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</si>
  <si>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</si>
  <si>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</si>
  <si>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</si>
  <si>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</si>
  <si>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</si>
  <si>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</si>
  <si>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</si>
  <si>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</si>
  <si>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</si>
  <si>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</si>
  <si>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</si>
  <si>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</si>
  <si>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</si>
  <si>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</si>
  <si>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</si>
  <si>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</si>
  <si>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</si>
  <si>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</si>
  <si>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</si>
  <si>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</si>
  <si>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</si>
  <si>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</si>
  <si>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</si>
  <si>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</si>
  <si>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</si>
  <si>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</si>
  <si>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</si>
  <si>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</si>
  <si>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</si>
  <si>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</si>
  <si>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</si>
  <si>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</si>
  <si>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</si>
  <si>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</si>
  <si>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</si>
  <si>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</si>
  <si>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</si>
  <si>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</si>
  <si>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</si>
  <si>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</si>
  <si>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</si>
  <si>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</si>
  <si>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</si>
  <si>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</si>
  <si>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</si>
  <si>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</si>
  <si>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</si>
  <si>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</si>
  <si>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</si>
  <si>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</si>
  <si>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</si>
  <si>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</si>
  <si>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</si>
  <si>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</si>
  <si>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</si>
  <si>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</si>
  <si>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</si>
  <si>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</si>
  <si>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</si>
  <si>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</si>
  <si>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</si>
  <si>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</si>
  <si>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</si>
  <si>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</si>
  <si>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</si>
  <si>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</si>
  <si>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</si>
  <si>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</si>
  <si>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</si>
  <si>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</si>
  <si>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</si>
  <si>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</si>
  <si>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</si>
  <si>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</si>
  <si>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</si>
  <si>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</si>
  <si>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</si>
  <si>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</si>
  <si>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</si>
  <si>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</si>
  <si>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</si>
  <si>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</si>
  <si>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</si>
  <si>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</si>
  <si>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</si>
  <si>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</si>
  <si>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</si>
  <si>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</si>
  <si>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</si>
  <si>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</si>
  <si>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</si>
  <si>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</si>
  <si>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</si>
  <si>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</si>
  <si>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</si>
  <si>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</si>
  <si>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</si>
  <si>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</si>
  <si>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</si>
  <si>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</si>
  <si>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</si>
  <si>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</si>
  <si>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</si>
  <si>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</si>
  <si>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</si>
  <si>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</si>
  <si>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</si>
  <si>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</si>
  <si>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</si>
  <si>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</si>
  <si>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</si>
  <si>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</si>
  <si>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</si>
  <si>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</si>
  <si>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</si>
  <si>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</si>
  <si>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</si>
  <si>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</si>
  <si>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</si>
  <si>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</si>
  <si>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</si>
  <si>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</si>
  <si>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</si>
  <si>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</si>
  <si>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</si>
  <si>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</si>
  <si>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</si>
  <si>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</si>
  <si>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</si>
  <si>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</si>
  <si>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</si>
  <si>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</si>
  <si>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</si>
  <si>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</si>
  <si>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</si>
  <si>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</si>
  <si>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</si>
  <si>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</si>
  <si>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</si>
  <si>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</si>
  <si>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</si>
  <si>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</si>
  <si>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</si>
  <si>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</si>
  <si>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</si>
  <si>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</si>
  <si>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</si>
  <si>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</si>
  <si>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</si>
  <si>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</si>
  <si>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</si>
  <si>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</si>
  <si>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</si>
  <si>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</si>
  <si>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</si>
  <si>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</si>
  <si>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</si>
  <si>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</si>
  <si>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</si>
  <si>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</si>
  <si>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</si>
  <si>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</si>
  <si>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</si>
  <si>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</si>
  <si>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</si>
  <si>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</si>
  <si>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</si>
  <si>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</si>
  <si>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</si>
  <si>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</si>
  <si>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</si>
  <si>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</si>
  <si>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</si>
  <si>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</si>
  <si>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</si>
  <si>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</si>
  <si>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</si>
  <si>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</si>
  <si>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</si>
  <si>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</si>
  <si>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</si>
  <si>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</si>
  <si>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</si>
  <si>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</si>
  <si>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</si>
  <si>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</si>
  <si>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</si>
  <si>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</si>
  <si>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</si>
  <si>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</si>
  <si>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</si>
  <si>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</si>
  <si>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</si>
  <si>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</si>
  <si>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</si>
  <si>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</si>
  <si>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</si>
  <si>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</si>
  <si>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</si>
  <si>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</si>
  <si>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</si>
  <si>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</si>
  <si>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</si>
  <si>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</si>
  <si>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</si>
  <si>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</si>
  <si>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</si>
  <si>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</si>
  <si>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</si>
  <si>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</si>
  <si>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</si>
  <si>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</si>
  <si>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</si>
  <si>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</si>
  <si>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</si>
  <si>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</si>
  <si>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</si>
  <si>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</si>
  <si>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</si>
  <si>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</si>
  <si>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</si>
  <si>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</si>
  <si>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</si>
  <si>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</si>
  <si>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</si>
  <si>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</si>
  <si>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</si>
  <si>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</si>
  <si>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</si>
  <si>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</si>
  <si>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</si>
  <si>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</si>
  <si>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</si>
  <si>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</si>
  <si>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</si>
  <si>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</si>
  <si>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</si>
  <si>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</si>
  <si>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</si>
  <si>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</si>
  <si>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</si>
  <si>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</si>
  <si>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</si>
  <si>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</si>
  <si>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</si>
  <si>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</si>
  <si>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</si>
  <si>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</si>
  <si>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</si>
  <si>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</si>
  <si>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</si>
  <si>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</si>
  <si>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</si>
  <si>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</si>
  <si>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</si>
  <si>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</si>
  <si>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</si>
  <si>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</si>
  <si>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</si>
  <si>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</si>
  <si>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</si>
  <si>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</si>
  <si>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</si>
  <si>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</si>
  <si>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</si>
  <si>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</si>
  <si>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</si>
  <si>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</si>
  <si>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</si>
  <si>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</si>
  <si>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</si>
  <si>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</si>
  <si>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</si>
  <si>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</si>
  <si>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</si>
  <si>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</si>
  <si>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</si>
  <si>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</si>
  <si>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</si>
  <si>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</si>
  <si>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</si>
  <si>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</si>
  <si>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</si>
  <si>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</si>
  <si>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</si>
  <si>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</si>
  <si>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</si>
  <si>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</si>
  <si>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</si>
  <si>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</si>
  <si>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</si>
  <si>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</si>
  <si>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</si>
  <si>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</si>
  <si>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</si>
  <si>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</si>
  <si>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</si>
  <si>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</si>
  <si>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</si>
  <si>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</si>
  <si>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</si>
  <si>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</si>
  <si>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</si>
  <si>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</si>
  <si>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</si>
  <si>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</si>
  <si>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</si>
  <si>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</si>
  <si>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</si>
  <si>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</si>
  <si>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</si>
  <si>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</si>
  <si>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</si>
  <si>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</si>
  <si>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</si>
  <si>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</si>
  <si>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</si>
  <si>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</si>
  <si>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</si>
  <si>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</si>
  <si>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</si>
  <si>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</si>
  <si>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</si>
  <si>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</si>
  <si>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</si>
  <si>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</si>
  <si>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</si>
  <si>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</si>
  <si>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</si>
  <si>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</si>
  <si>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</si>
  <si>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</si>
  <si>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</si>
  <si>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</si>
  <si>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</si>
  <si>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</si>
  <si>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</si>
  <si>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</si>
  <si>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</si>
  <si>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</si>
  <si>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</si>
  <si>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</si>
  <si>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</si>
  <si>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</si>
  <si>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</si>
  <si>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</si>
  <si>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</si>
  <si>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</si>
  <si>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</si>
  <si>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</si>
  <si>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</si>
  <si>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</si>
  <si>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</si>
  <si>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</si>
  <si>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</si>
  <si>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</si>
  <si>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</si>
  <si>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</si>
  <si>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</si>
  <si>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</si>
  <si>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</si>
  <si>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</si>
  <si>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</si>
  <si>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</si>
  <si>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</si>
  <si>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</si>
  <si>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</si>
  <si>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</si>
  <si>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</si>
  <si>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</si>
  <si>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</si>
  <si>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</si>
  <si>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</si>
  <si>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</si>
  <si>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</si>
  <si>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</si>
  <si>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</si>
  <si>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</si>
  <si>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</si>
  <si>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</si>
  <si>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</si>
  <si>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</si>
  <si>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</si>
  <si>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</si>
  <si>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</si>
  <si>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</si>
  <si>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</si>
  <si>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</si>
  <si>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</si>
  <si>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</si>
  <si>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</si>
  <si>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</si>
  <si>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</si>
  <si>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</si>
  <si>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</si>
  <si>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</si>
  <si>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</si>
  <si>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</si>
  <si>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</si>
  <si>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</si>
  <si>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</si>
  <si>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</si>
  <si>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</si>
  <si>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</si>
  <si>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</si>
  <si>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</si>
  <si>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</si>
  <si>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</si>
  <si>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</si>
  <si>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</si>
  <si>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</si>
  <si>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</si>
  <si>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</si>
  <si>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</si>
  <si>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</si>
  <si>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</si>
  <si>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</si>
  <si>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</si>
  <si>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</si>
  <si>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</si>
  <si>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</si>
  <si>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</si>
  <si>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</si>
  <si>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</si>
  <si>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</si>
  <si>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</si>
  <si>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</si>
  <si>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</si>
  <si>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</si>
  <si>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</si>
  <si>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</si>
  <si>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</si>
  <si>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</si>
  <si>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</si>
  <si>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</si>
  <si>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</si>
  <si>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</si>
  <si>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</si>
  <si>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</si>
  <si>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</si>
  <si>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</si>
  <si>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</si>
  <si>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</si>
  <si>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</si>
  <si>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</si>
  <si>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</si>
  <si>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</si>
  <si>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</si>
  <si>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</si>
  <si>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</si>
  <si>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</si>
  <si>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</si>
  <si>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</si>
  <si>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</si>
  <si>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</si>
  <si>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</si>
  <si>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</si>
  <si>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</si>
  <si>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</si>
  <si>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</si>
  <si>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</si>
  <si>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</si>
  <si>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</si>
  <si>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</si>
  <si>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</si>
  <si>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</si>
  <si>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</si>
  <si>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</si>
  <si>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</si>
  <si>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</si>
  <si>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</si>
  <si>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</si>
  <si>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</si>
  <si>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</si>
  <si>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</si>
  <si>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</si>
  <si>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</si>
  <si>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</si>
  <si>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</si>
  <si>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</si>
  <si>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</si>
  <si>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</si>
  <si>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</si>
  <si>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</si>
  <si>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</si>
  <si>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</si>
  <si>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</si>
  <si>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</si>
  <si>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</si>
  <si>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</si>
  <si>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</si>
  <si>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</si>
  <si>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</si>
  <si>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</si>
  <si>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</si>
  <si>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</si>
  <si>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</si>
  <si>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</si>
  <si>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</si>
  <si>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</si>
  <si>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</si>
  <si>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</si>
  <si>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</si>
  <si>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</si>
  <si>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</si>
  <si>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</si>
  <si>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</si>
  <si>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</si>
  <si>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</si>
  <si>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</si>
  <si>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</si>
  <si>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</si>
  <si>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</si>
  <si>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</si>
  <si>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</si>
  <si>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</si>
  <si>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</si>
  <si>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</si>
  <si>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</si>
  <si>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</si>
  <si>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</si>
  <si>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</si>
  <si>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</si>
  <si>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</si>
  <si>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</si>
  <si>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</si>
  <si>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</si>
  <si>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</si>
  <si>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</si>
  <si>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</si>
  <si>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</si>
  <si>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</si>
  <si>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</si>
  <si>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</si>
  <si>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</si>
  <si>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</si>
  <si>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</si>
  <si>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</si>
  <si>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</si>
  <si>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</si>
  <si>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</si>
  <si>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</si>
  <si>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</si>
  <si>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</si>
  <si>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</si>
  <si>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</si>
  <si>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</si>
  <si>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</si>
  <si>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</si>
  <si>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</si>
  <si>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</si>
  <si>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</si>
  <si>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</si>
  <si>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</si>
  <si>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</si>
  <si>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</si>
  <si>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</si>
  <si>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</si>
  <si>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</si>
  <si>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</si>
  <si>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</si>
  <si>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</si>
  <si>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</si>
  <si>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</si>
  <si>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</si>
  <si>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</si>
  <si>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</si>
  <si>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</si>
  <si>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</si>
  <si>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</si>
  <si>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</si>
  <si>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</si>
  <si>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</si>
  <si>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</si>
  <si>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</si>
  <si>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</si>
  <si>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</si>
  <si>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</si>
  <si>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</si>
  <si>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</si>
  <si>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</si>
  <si>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</si>
  <si>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</si>
  <si>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</si>
  <si>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</si>
  <si>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</si>
  <si>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</si>
  <si>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</si>
  <si>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</si>
  <si>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</si>
  <si>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</si>
  <si>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</si>
  <si>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</si>
  <si>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</si>
  <si>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</si>
  <si>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</si>
  <si>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</si>
  <si>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</si>
  <si>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</si>
  <si>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</si>
  <si>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</si>
  <si>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</si>
  <si>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</si>
  <si>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</si>
  <si>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</si>
  <si>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</si>
  <si>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</si>
  <si>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</si>
  <si>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</si>
  <si>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</si>
  <si>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</si>
  <si>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</si>
  <si>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</si>
  <si>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</si>
  <si>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</si>
  <si>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</si>
  <si>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</si>
  <si>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</si>
  <si>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</si>
  <si>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</si>
  <si>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</si>
  <si>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</si>
  <si>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</si>
  <si>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</si>
  <si>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</si>
  <si>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</si>
  <si>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</si>
  <si>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</si>
  <si>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</si>
  <si>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</si>
  <si>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</si>
  <si>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</si>
  <si>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</si>
  <si>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</si>
  <si>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</si>
  <si>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</si>
  <si>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</si>
  <si>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</si>
  <si>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</si>
  <si>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</si>
  <si>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</si>
  <si>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</si>
  <si>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</si>
  <si>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</si>
  <si>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</si>
  <si>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</si>
  <si>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</si>
  <si>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</si>
  <si>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</si>
  <si>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</si>
  <si>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</si>
  <si>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</si>
  <si>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</si>
  <si>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</si>
  <si>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</si>
  <si>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</si>
  <si>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</si>
  <si>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</si>
  <si>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</si>
  <si>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</si>
  <si>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</si>
  <si>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</si>
  <si>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</si>
  <si>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</si>
  <si>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</si>
  <si>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</si>
  <si>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</si>
  <si>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</si>
  <si>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</si>
  <si>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</si>
  <si>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</si>
  <si>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</si>
  <si>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</si>
  <si>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</si>
  <si>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</si>
  <si>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</si>
  <si>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</si>
  <si>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</si>
  <si>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</si>
  <si>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</si>
  <si>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</si>
  <si>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</si>
  <si>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</si>
  <si>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</si>
  <si>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</si>
  <si>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</si>
  <si>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</si>
  <si>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</si>
  <si>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</si>
  <si>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</si>
  <si>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</si>
  <si>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</si>
  <si>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</si>
  <si>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</si>
  <si>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</si>
  <si>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</si>
  <si>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</si>
  <si>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</si>
  <si>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</si>
  <si>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</si>
  <si>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</si>
  <si>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</si>
  <si>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</si>
  <si>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</si>
  <si>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</si>
  <si>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</si>
  <si>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</si>
  <si>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</si>
  <si>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</si>
  <si>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</si>
  <si>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</si>
  <si>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</si>
  <si>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</si>
  <si>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</si>
  <si>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</si>
  <si>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</si>
  <si>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</si>
  <si>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</si>
  <si>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</si>
  <si>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</si>
  <si>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</si>
  <si>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</si>
  <si>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</si>
  <si>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</si>
  <si>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</si>
  <si>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</si>
  <si>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</si>
  <si>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</si>
  <si>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</si>
  <si>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</si>
  <si>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</si>
  <si>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</si>
  <si>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</si>
  <si>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</si>
  <si>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</si>
  <si>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</si>
  <si>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</si>
  <si>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</si>
  <si>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</si>
  <si>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</si>
  <si>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</si>
  <si>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</si>
  <si>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</si>
  <si>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</si>
  <si>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</si>
  <si>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</si>
  <si>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</si>
  <si>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</si>
  <si>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</si>
  <si>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</si>
  <si>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</si>
  <si>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</si>
  <si>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</si>
  <si>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</si>
  <si>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</si>
  <si>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</si>
  <si>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</si>
  <si>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</si>
  <si>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</si>
  <si>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</si>
  <si>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</si>
  <si>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</si>
  <si>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</si>
  <si>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</si>
  <si>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</si>
  <si>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</si>
  <si>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</si>
  <si>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</si>
  <si>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</si>
  <si>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</si>
  <si>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</si>
  <si>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</si>
  <si>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</si>
  <si>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</si>
  <si>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</si>
  <si>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</si>
  <si>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</si>
  <si>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</si>
  <si>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</si>
  <si>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</si>
  <si>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</si>
  <si>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</si>
  <si>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</si>
  <si>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</si>
  <si>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</si>
  <si>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</si>
  <si>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</si>
  <si>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</si>
  <si>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</si>
  <si>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</si>
  <si>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</si>
  <si>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</si>
  <si>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</si>
  <si>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</si>
  <si>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</si>
  <si>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</si>
  <si>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</si>
  <si>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</si>
  <si>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</si>
  <si>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</si>
  <si>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</si>
  <si>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</si>
  <si>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</si>
  <si>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</si>
  <si>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</si>
  <si>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</si>
  <si>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</si>
  <si>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</si>
  <si>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</si>
  <si>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</si>
  <si>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</si>
  <si>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</si>
  <si>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</si>
  <si>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</si>
  <si>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</si>
  <si>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</si>
  <si>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</si>
  <si>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</si>
  <si>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</si>
  <si>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</si>
  <si>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</si>
  <si>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</si>
  <si>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</si>
  <si>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</si>
  <si>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</si>
  <si>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</si>
  <si>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</si>
  <si>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</si>
  <si>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</si>
  <si>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</si>
  <si>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</si>
  <si>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</si>
  <si>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</si>
  <si>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</si>
  <si>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</si>
  <si>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</si>
  <si>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</si>
  <si>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</si>
  <si>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</si>
  <si>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</si>
  <si>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</si>
  <si>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</si>
  <si>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</si>
  <si>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</si>
  <si>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</si>
  <si>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</si>
  <si>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</si>
  <si>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</si>
  <si>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</si>
  <si>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</si>
  <si>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</si>
  <si>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</si>
  <si>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</si>
  <si>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</si>
  <si>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</si>
  <si>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</si>
  <si>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</si>
  <si>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</si>
  <si>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</si>
  <si>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</si>
  <si>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</si>
  <si>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</si>
  <si>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</si>
  <si>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</si>
  <si>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</si>
  <si>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</si>
  <si>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</si>
  <si>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</si>
  <si>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</si>
  <si>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</si>
  <si>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</si>
  <si>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</si>
  <si>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</si>
  <si>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</si>
  <si>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</si>
  <si>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</si>
  <si>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</si>
  <si>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</si>
  <si>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</si>
  <si>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</si>
  <si>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</si>
  <si>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</si>
  <si>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</si>
  <si>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</si>
  <si>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</si>
  <si>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</si>
  <si>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</si>
  <si>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</si>
  <si>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</si>
  <si>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</si>
  <si>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</si>
  <si>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</si>
  <si>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</si>
  <si>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</si>
  <si>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</si>
  <si>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</si>
  <si>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</si>
  <si>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</si>
  <si>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</si>
  <si>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</si>
  <si>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</si>
  <si>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</si>
  <si>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</si>
  <si>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</si>
  <si>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</si>
  <si>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</si>
  <si>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</si>
  <si>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</si>
  <si>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</si>
  <si>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</si>
  <si>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</si>
  <si>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</si>
  <si>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</si>
  <si>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</si>
  <si>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</si>
  <si>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</si>
  <si>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</si>
  <si>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</si>
  <si>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</si>
  <si>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</si>
  <si>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</si>
  <si>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</si>
  <si>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</si>
  <si>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</si>
  <si>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</si>
  <si>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</si>
  <si>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</si>
  <si>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</si>
  <si>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</si>
  <si>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</si>
  <si>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</si>
  <si>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</si>
  <si>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</si>
  <si>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</si>
  <si>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</si>
  <si>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</si>
  <si>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</si>
  <si>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</si>
  <si>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</si>
  <si>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</si>
  <si>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</si>
  <si>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</si>
  <si>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</si>
  <si>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</si>
  <si>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</si>
  <si>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</si>
  <si>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</si>
  <si>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</si>
  <si>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</si>
  <si>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</si>
  <si>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</si>
  <si>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</si>
  <si>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</si>
  <si>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</si>
  <si>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</si>
  <si>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</si>
  <si>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</si>
  <si>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</si>
  <si>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</si>
  <si>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</si>
  <si>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</si>
  <si>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</si>
  <si>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</si>
  <si>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</si>
  <si>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</si>
  <si>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</si>
  <si>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</si>
  <si>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</si>
  <si>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</si>
  <si>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</si>
  <si>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</si>
  <si>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</si>
  <si>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</si>
  <si>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</si>
  <si>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</si>
  <si>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</si>
  <si>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</si>
  <si>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</si>
  <si>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</si>
  <si>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</si>
  <si>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</si>
  <si>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</si>
  <si>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</si>
  <si>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</si>
  <si>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</si>
  <si>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</si>
  <si>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</si>
  <si>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</si>
  <si>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</si>
  <si>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</si>
  <si>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</si>
  <si>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</si>
  <si>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</si>
  <si>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</si>
  <si>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</si>
  <si>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</si>
  <si>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</si>
  <si>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</si>
  <si>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</si>
  <si>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</si>
  <si>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</si>
  <si>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</si>
  <si>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</si>
  <si>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</si>
  <si>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</si>
  <si>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</si>
  <si>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</si>
  <si>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</si>
  <si>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</si>
  <si>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</si>
  <si>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</si>
  <si>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</si>
  <si>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</si>
  <si>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</si>
  <si>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</si>
  <si>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</si>
  <si>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</si>
  <si>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</si>
  <si>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</si>
  <si>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</si>
  <si>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</si>
  <si>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</si>
  <si>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</si>
  <si>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</si>
  <si>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</si>
  <si>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</si>
  <si>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</si>
  <si>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</si>
  <si>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</si>
  <si>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</si>
  <si>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</si>
  <si>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</si>
  <si>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</si>
  <si>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</si>
  <si>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</si>
  <si>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</si>
  <si>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</si>
  <si>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</si>
  <si>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</si>
  <si>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</si>
  <si>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</si>
  <si>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</si>
  <si>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</si>
  <si>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</si>
  <si>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</si>
  <si>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</si>
  <si>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</si>
  <si>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</si>
  <si>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</si>
  <si>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</si>
  <si>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</si>
  <si>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</si>
  <si>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</si>
  <si>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</si>
  <si>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</si>
  <si>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</si>
  <si>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</si>
  <si>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</si>
  <si>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</si>
  <si>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</si>
  <si>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</si>
  <si>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</si>
  <si>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</si>
  <si>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</si>
  <si>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</si>
  <si>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</si>
  <si>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</si>
  <si>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</si>
  <si>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</si>
  <si>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</si>
  <si>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</si>
  <si>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</si>
  <si>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</si>
  <si>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</si>
  <si>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</si>
  <si>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</si>
  <si>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</si>
  <si>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</si>
  <si>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</si>
  <si>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</si>
  <si>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</si>
  <si>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</si>
  <si>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</si>
  <si>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</si>
  <si>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</si>
  <si>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</si>
  <si>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</si>
  <si>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</si>
  <si>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</si>
  <si>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</si>
  <si>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</si>
  <si>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</si>
  <si>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</si>
  <si>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</si>
  <si>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</si>
  <si>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</si>
  <si>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</si>
  <si>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</si>
  <si>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</si>
  <si>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</si>
  <si>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</si>
  <si>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</si>
  <si>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</si>
  <si>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</si>
  <si>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</si>
  <si>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</si>
  <si>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</si>
  <si>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</si>
  <si>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</si>
  <si>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</si>
  <si>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</si>
  <si>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</si>
  <si>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</si>
  <si>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</si>
  <si>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</si>
  <si>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</si>
  <si>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</si>
  <si>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</si>
  <si>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</si>
  <si>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</si>
  <si>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</si>
  <si>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</si>
  <si>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</si>
  <si>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</si>
  <si>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</si>
  <si>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</si>
  <si>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</si>
  <si>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</si>
  <si>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</si>
  <si>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</si>
  <si>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</si>
  <si>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</si>
  <si>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</si>
  <si>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</si>
  <si>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</si>
  <si>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</si>
  <si>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</si>
  <si>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</si>
  <si>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</si>
  <si>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</si>
  <si>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</si>
  <si>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</si>
  <si>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</si>
  <si>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</si>
  <si>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</si>
  <si>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</si>
  <si>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</si>
  <si>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</si>
  <si>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</si>
  <si>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</si>
  <si>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</si>
  <si>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</si>
  <si>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</si>
  <si>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</si>
  <si>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</si>
  <si>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</si>
  <si>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</si>
  <si>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</si>
  <si>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</si>
  <si>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</si>
  <si>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</si>
  <si>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</si>
  <si>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</si>
  <si>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</si>
  <si>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</si>
  <si>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</si>
  <si>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</si>
  <si>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</si>
  <si>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</si>
  <si>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</si>
  <si>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</si>
  <si>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</si>
  <si>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</si>
  <si>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</si>
  <si>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</si>
  <si>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</si>
  <si>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</si>
  <si>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</si>
  <si>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</si>
  <si>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</si>
  <si>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</si>
  <si>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</si>
  <si>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</si>
  <si>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</si>
  <si>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</si>
  <si>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</si>
  <si>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</si>
  <si>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</si>
  <si>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</si>
  <si>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</si>
  <si>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</si>
  <si>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</si>
  <si>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</si>
  <si>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</si>
  <si>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</si>
  <si>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</si>
  <si>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</si>
  <si>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</si>
  <si>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</si>
  <si>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</si>
  <si>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</si>
  <si>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</si>
  <si>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</si>
  <si>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</si>
  <si>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</si>
  <si>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</si>
  <si>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</si>
  <si>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</si>
  <si>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</si>
  <si>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</si>
  <si>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</si>
  <si>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</si>
  <si>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</si>
  <si>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</si>
  <si>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</si>
  <si>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</si>
  <si>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</si>
  <si>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</si>
  <si>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</si>
  <si>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</si>
  <si>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</si>
  <si>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</si>
  <si>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</si>
  <si>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</si>
  <si>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</si>
  <si>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</si>
  <si>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</si>
  <si>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</si>
  <si>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</si>
  <si>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</si>
  <si>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</si>
  <si>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</si>
  <si>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</si>
  <si>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</si>
  <si>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</si>
  <si>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</si>
  <si>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</si>
  <si>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</si>
  <si>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</si>
  <si>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</si>
  <si>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</si>
  <si>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</si>
  <si>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</si>
  <si>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</si>
  <si>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</si>
  <si>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</si>
  <si>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</si>
  <si>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</si>
  <si>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</si>
  <si>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</si>
  <si>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</si>
  <si>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</si>
  <si>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</si>
  <si>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</si>
  <si>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</si>
  <si>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</si>
  <si>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</si>
  <si>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</si>
  <si>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</si>
  <si>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</si>
  <si>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</si>
  <si>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</si>
  <si>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</si>
  <si>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</si>
  <si>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</si>
  <si>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</si>
  <si>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</si>
  <si>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</si>
  <si>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</si>
  <si>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</si>
  <si>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</si>
  <si>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</si>
  <si>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</si>
  <si>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</si>
  <si>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</si>
  <si>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</si>
  <si>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</si>
  <si>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</si>
  <si>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</si>
  <si>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</si>
  <si>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</si>
  <si>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</si>
  <si>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</si>
  <si>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</si>
  <si>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</si>
  <si>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</si>
  <si>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</si>
  <si>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</si>
  <si>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</si>
  <si>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</si>
  <si>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</si>
  <si>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</si>
  <si>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</si>
  <si>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</si>
  <si>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</si>
  <si>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</si>
  <si>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</si>
  <si>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</si>
  <si>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</si>
  <si>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</si>
  <si>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</si>
  <si>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</si>
  <si>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</si>
  <si>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</si>
  <si>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</si>
  <si>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</si>
  <si>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</si>
  <si>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</si>
  <si>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</si>
  <si>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</si>
  <si>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</si>
  <si>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</si>
  <si>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</si>
  <si>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</si>
  <si>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</si>
  <si>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</si>
  <si>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</si>
  <si>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</si>
  <si>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</si>
  <si>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</si>
  <si>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</si>
  <si>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</si>
  <si>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</si>
  <si>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</si>
  <si>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</si>
  <si>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</si>
  <si>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</si>
  <si>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</si>
  <si>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</si>
  <si>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</si>
  <si>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</si>
  <si>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</si>
  <si>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</si>
  <si>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</si>
  <si>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</si>
  <si>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</si>
  <si>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</si>
  <si>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</si>
  <si>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</si>
  <si>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</si>
  <si>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</si>
  <si>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</si>
  <si>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</si>
  <si>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</si>
  <si>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</si>
  <si>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</si>
  <si>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</si>
  <si>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</si>
  <si>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</si>
  <si>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</si>
  <si>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</si>
  <si>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</si>
  <si>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</si>
  <si>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</si>
  <si>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</si>
  <si>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</si>
  <si>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</si>
  <si>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</si>
  <si>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</si>
  <si>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</si>
  <si>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</si>
  <si>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</si>
  <si>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</si>
  <si>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</si>
  <si>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</si>
  <si>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</si>
  <si>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</si>
  <si>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</si>
  <si>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</si>
  <si>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</si>
  <si>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</si>
  <si>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</si>
  <si>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</si>
  <si>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</si>
  <si>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</si>
  <si>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</si>
  <si>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</si>
  <si>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</si>
  <si>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</si>
  <si>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</si>
  <si>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</si>
  <si>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</si>
  <si>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</si>
  <si>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</si>
  <si>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</si>
  <si>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</si>
  <si>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</si>
  <si>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</si>
  <si>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</si>
  <si>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</si>
  <si>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</si>
  <si>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</si>
  <si>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</si>
  <si>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</si>
  <si>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</si>
  <si>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</si>
  <si>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</si>
  <si>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</si>
  <si>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</si>
  <si>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</si>
  <si>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</si>
  <si>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</si>
  <si>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</si>
  <si>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</si>
  <si>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</si>
  <si>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</si>
  <si>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</si>
  <si>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</si>
  <si>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</si>
  <si>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</si>
  <si>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</si>
  <si>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</si>
  <si>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</si>
  <si>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</si>
  <si>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</si>
  <si>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</si>
  <si>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</si>
  <si>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</si>
  <si>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</si>
  <si>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</si>
  <si>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</si>
  <si>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</si>
  <si>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</si>
  <si>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</si>
  <si>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</si>
  <si>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</si>
  <si>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</si>
  <si>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</si>
  <si>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</si>
  <si>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</si>
  <si>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</si>
  <si>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</si>
  <si>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</si>
  <si>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</si>
  <si>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</si>
  <si>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</si>
  <si>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</si>
  <si>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</si>
  <si>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</si>
  <si>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</si>
  <si>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</si>
  <si>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</si>
  <si>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</si>
  <si>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</si>
  <si>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</si>
  <si>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</si>
  <si>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</si>
  <si>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</si>
  <si>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</si>
  <si>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</si>
  <si>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</si>
  <si>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</si>
  <si>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</si>
  <si>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</si>
  <si>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</si>
  <si>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</si>
  <si>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</si>
  <si>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</si>
  <si>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</si>
  <si>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</si>
  <si>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</si>
  <si>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</si>
  <si>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</si>
  <si>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</si>
  <si>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</si>
  <si>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</si>
  <si>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</si>
  <si>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</si>
  <si>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</si>
  <si>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</si>
  <si>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</si>
  <si>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</si>
  <si>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</si>
  <si>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</si>
  <si>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</si>
  <si>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</si>
  <si>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</si>
  <si>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</si>
  <si>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</si>
  <si>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</si>
  <si>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</si>
  <si>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</si>
  <si>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</si>
  <si>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</si>
  <si>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</si>
  <si>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</si>
  <si>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</si>
  <si>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</si>
  <si>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</si>
  <si>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</si>
  <si>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</si>
  <si>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</si>
  <si>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</si>
  <si>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</si>
  <si>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</si>
  <si>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</si>
  <si>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</si>
  <si>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</si>
  <si>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</si>
  <si>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</si>
  <si>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</si>
  <si>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</si>
  <si>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</si>
  <si>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</si>
  <si>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</si>
  <si>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</si>
  <si>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</si>
  <si>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</si>
  <si>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</si>
  <si>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</si>
  <si>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</si>
  <si>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</si>
  <si>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</si>
  <si>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</si>
  <si>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</si>
  <si>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</si>
  <si>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</si>
  <si>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</si>
  <si>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</si>
  <si>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</si>
  <si>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</si>
  <si>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</si>
  <si>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</si>
  <si>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</si>
  <si>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</si>
  <si>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</si>
  <si>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</si>
  <si>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</si>
  <si>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</si>
  <si>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</si>
  <si>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</si>
  <si>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</si>
  <si>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</si>
  <si>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</si>
  <si>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</si>
  <si>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</si>
  <si>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</si>
  <si>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</si>
  <si>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</si>
  <si>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</si>
  <si>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</si>
  <si>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</si>
  <si>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</si>
  <si>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</si>
  <si>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</si>
  <si>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</si>
  <si>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</si>
  <si>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</si>
  <si>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</si>
  <si>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</si>
  <si>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</si>
  <si>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</si>
  <si>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</si>
  <si>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</si>
  <si>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</si>
  <si>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</si>
  <si>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</si>
  <si>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</si>
  <si>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</si>
  <si>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</si>
  <si>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</si>
  <si>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</si>
  <si>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</si>
  <si>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</si>
  <si>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</si>
  <si>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</si>
  <si>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</si>
  <si>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</si>
  <si>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</si>
  <si>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</si>
  <si>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</si>
  <si>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</si>
  <si>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</si>
  <si>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</si>
  <si>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</si>
  <si>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</si>
  <si>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</si>
  <si>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</si>
  <si>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</si>
  <si>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</si>
  <si>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</si>
  <si>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</si>
  <si>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</si>
  <si>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</si>
  <si>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</si>
  <si>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</si>
  <si>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</si>
  <si>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</si>
  <si>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</si>
  <si>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</si>
  <si>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</si>
  <si>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</si>
  <si>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</si>
  <si>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</si>
  <si>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</si>
  <si>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</si>
  <si>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</si>
  <si>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</si>
  <si>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</si>
  <si>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</si>
  <si>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</si>
  <si>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</si>
  <si>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</si>
  <si>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</si>
  <si>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</si>
  <si>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</si>
  <si>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</si>
  <si>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</si>
  <si>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</si>
  <si>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</si>
  <si>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</si>
  <si>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</si>
  <si>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</si>
  <si>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</si>
  <si>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</si>
  <si>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</si>
  <si>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</si>
  <si>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</si>
  <si>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</si>
  <si>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</si>
  <si>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</si>
  <si>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</si>
  <si>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</si>
  <si>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</si>
  <si>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</si>
  <si>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</si>
  <si>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</si>
  <si>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</si>
  <si>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</si>
  <si>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</si>
  <si>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</si>
  <si>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</si>
  <si>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</si>
  <si>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</si>
  <si>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</si>
  <si>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</si>
  <si>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</si>
  <si>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</si>
  <si>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</si>
  <si>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</si>
  <si>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</si>
  <si>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</si>
  <si>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</si>
  <si>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</si>
  <si>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</si>
  <si>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</si>
  <si>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</si>
  <si>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</si>
  <si>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</si>
  <si>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</si>
  <si>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</si>
  <si>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</si>
  <si>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</si>
  <si>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</si>
  <si>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</si>
  <si>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</si>
  <si>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</si>
  <si>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</si>
  <si>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</si>
  <si>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</si>
  <si>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</si>
  <si>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</si>
  <si>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</si>
  <si>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</si>
  <si>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</si>
  <si>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</si>
  <si>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</si>
  <si>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</si>
  <si>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</si>
  <si>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</si>
  <si>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</si>
  <si>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</si>
  <si>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</si>
  <si>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</si>
  <si>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</si>
  <si>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</si>
  <si>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</si>
  <si>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</si>
  <si>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</si>
  <si>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</si>
  <si>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</si>
  <si>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</si>
  <si>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</si>
  <si>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</si>
  <si>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</si>
  <si>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</si>
  <si>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</si>
  <si>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</si>
  <si>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</si>
  <si>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</si>
  <si>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</si>
  <si>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</si>
  <si>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</si>
  <si>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</si>
  <si>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</si>
  <si>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</si>
  <si>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</si>
  <si>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</si>
  <si>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</si>
  <si>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</si>
  <si>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</si>
  <si>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</si>
  <si>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</si>
  <si>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</si>
  <si>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</si>
  <si>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</si>
  <si>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</si>
  <si>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</si>
  <si>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</si>
  <si>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</si>
  <si>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</si>
  <si>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</si>
  <si>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</si>
  <si>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</si>
  <si>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</si>
  <si>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</si>
  <si>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</si>
  <si>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</si>
  <si>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</si>
  <si>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</si>
  <si>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</si>
  <si>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</si>
  <si>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</si>
  <si>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</si>
  <si>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</si>
  <si>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</si>
  <si>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</si>
  <si>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</si>
  <si>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</si>
  <si>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</si>
  <si>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</si>
  <si>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</si>
  <si>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</si>
  <si>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</si>
  <si>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</si>
  <si>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</si>
  <si>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</si>
  <si>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</si>
  <si>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</si>
  <si>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</si>
  <si>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</si>
  <si>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</si>
  <si>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</si>
  <si>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</si>
  <si>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</si>
  <si>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</si>
  <si>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</si>
  <si>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</si>
  <si>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</si>
  <si>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</si>
  <si>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</si>
  <si>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</si>
  <si>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</si>
  <si>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</si>
  <si>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</si>
  <si>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</si>
  <si>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</si>
  <si>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</si>
  <si>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</si>
  <si>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</si>
  <si>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</si>
  <si>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</si>
  <si>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</si>
  <si>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</si>
  <si>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</si>
  <si>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</si>
  <si>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</si>
  <si>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</si>
  <si>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</si>
  <si>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</si>
  <si>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</si>
  <si>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</si>
  <si>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</si>
  <si>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</si>
  <si>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</si>
  <si>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</si>
  <si>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</si>
  <si>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</si>
  <si>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</si>
  <si>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</si>
  <si>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</si>
  <si>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</si>
  <si>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</si>
  <si>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</si>
  <si>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</si>
  <si>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</si>
  <si>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</si>
  <si>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</si>
  <si>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</si>
  <si>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</si>
  <si>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</si>
  <si>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</si>
  <si>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</si>
  <si>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</si>
  <si>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</si>
  <si>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</si>
  <si>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</si>
  <si>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</si>
  <si>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</si>
  <si>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</si>
  <si>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</si>
  <si>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</si>
  <si>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</si>
  <si>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</si>
  <si>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</si>
  <si>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</si>
  <si>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</si>
  <si>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</si>
  <si>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</si>
  <si>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</si>
  <si>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</si>
  <si>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</si>
  <si>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</si>
  <si>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</si>
  <si>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</si>
  <si>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</si>
  <si>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</si>
  <si>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</si>
  <si>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</si>
  <si>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</si>
  <si>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</si>
  <si>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</si>
  <si>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</si>
  <si>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</si>
  <si>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</si>
  <si>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</si>
  <si>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</si>
  <si>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</si>
  <si>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</si>
  <si>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</si>
  <si>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</si>
  <si>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</si>
  <si>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</si>
  <si>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</si>
  <si>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</si>
  <si>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</si>
  <si>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</si>
  <si>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</si>
  <si>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</si>
  <si>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</si>
  <si>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</si>
  <si>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</si>
  <si>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</si>
  <si>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</si>
  <si>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</si>
  <si>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</si>
  <si>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</si>
  <si>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</si>
  <si>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</si>
  <si>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</si>
  <si>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</si>
  <si>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</si>
  <si>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</si>
  <si>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</si>
  <si>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</si>
  <si>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</si>
  <si>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</si>
  <si>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</si>
  <si>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</si>
  <si>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</si>
  <si>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</si>
  <si>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</si>
  <si>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</si>
  <si>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</si>
  <si>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</si>
  <si>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</si>
  <si>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</si>
  <si>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</si>
  <si>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</si>
  <si>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</si>
  <si>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</si>
  <si>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</si>
  <si>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</si>
  <si>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</si>
  <si>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</si>
  <si>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</si>
  <si>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</si>
  <si>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</si>
  <si>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</si>
  <si>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</si>
  <si>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</si>
  <si>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</si>
  <si>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</si>
  <si>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</si>
  <si>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</si>
  <si>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</si>
  <si>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</si>
  <si>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</si>
  <si>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</si>
  <si>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</si>
  <si>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</si>
  <si>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</si>
  <si>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</si>
  <si>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</si>
  <si>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</si>
  <si>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</si>
  <si>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</si>
  <si>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</si>
  <si>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</si>
  <si>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</si>
  <si>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</si>
  <si>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</si>
  <si>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</si>
  <si>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</si>
  <si>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</si>
  <si>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</si>
  <si>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</si>
  <si>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</si>
  <si>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</si>
  <si>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</si>
  <si>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</si>
  <si>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</si>
  <si>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</si>
  <si>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</si>
  <si>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</si>
  <si>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</si>
  <si>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</si>
  <si>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</si>
  <si>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</si>
  <si>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</si>
  <si>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</si>
  <si>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</si>
  <si>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</si>
  <si>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</si>
  <si>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</si>
  <si>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</si>
  <si>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</si>
  <si>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</si>
  <si>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</si>
  <si>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</si>
  <si>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</si>
  <si>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</si>
  <si>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</si>
  <si>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</si>
  <si>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</si>
  <si>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</si>
  <si>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</si>
  <si>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</si>
  <si>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</si>
  <si>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</si>
  <si>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</si>
  <si>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</si>
  <si>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</si>
  <si>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</si>
  <si>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</si>
  <si>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</si>
  <si>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</si>
  <si>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</si>
  <si>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</si>
  <si>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</si>
  <si>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</si>
  <si>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</si>
  <si>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</si>
  <si>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</si>
  <si>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</si>
  <si>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</si>
  <si>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</si>
  <si>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</si>
  <si>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</si>
  <si>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</si>
  <si>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</si>
  <si>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</si>
  <si>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</si>
  <si>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</si>
  <si>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</si>
  <si>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</si>
  <si>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</si>
  <si>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</si>
  <si>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</si>
  <si>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</si>
  <si>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</si>
  <si>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</si>
  <si>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</si>
  <si>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</si>
  <si>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</si>
  <si>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</si>
  <si>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</si>
  <si>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</si>
  <si>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</si>
  <si>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</si>
  <si>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</si>
  <si>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</si>
  <si>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</si>
  <si>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</si>
  <si>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</si>
  <si>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</si>
  <si>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</si>
  <si>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</si>
  <si>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</si>
  <si>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</si>
  <si>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</si>
  <si>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</si>
  <si>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</si>
  <si>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</si>
  <si>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</si>
  <si>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</si>
  <si>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</si>
  <si>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</si>
  <si>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</si>
  <si>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</si>
  <si>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</si>
  <si>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</si>
  <si>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</si>
  <si>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</si>
  <si>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</si>
  <si>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</si>
  <si>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</si>
  <si>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</si>
  <si>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</si>
  <si>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</si>
  <si>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</si>
  <si>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</si>
  <si>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</si>
  <si>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</si>
  <si>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</si>
  <si>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</si>
  <si>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</si>
  <si>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</si>
  <si>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</si>
  <si>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</si>
  <si>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</si>
  <si>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</si>
  <si>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</si>
  <si>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</si>
  <si>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</si>
  <si>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</si>
  <si>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</si>
  <si>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</si>
  <si>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</si>
  <si>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</si>
  <si>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</si>
  <si>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</si>
  <si>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</si>
  <si>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</si>
  <si>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</si>
  <si>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</si>
  <si>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</si>
  <si>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</si>
  <si>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</si>
  <si>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</si>
  <si>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</si>
  <si>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</si>
  <si>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</si>
  <si>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</si>
  <si>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</si>
  <si>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</si>
  <si>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</si>
  <si>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</si>
  <si>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</si>
  <si>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</si>
  <si>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</si>
  <si>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</si>
  <si>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</si>
  <si>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</si>
  <si>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</si>
  <si>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</si>
  <si>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</si>
  <si>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</si>
  <si>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</si>
  <si>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</si>
  <si>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</si>
  <si>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</si>
  <si>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</si>
  <si>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</si>
  <si>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</si>
  <si>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</si>
  <si>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</si>
  <si>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</si>
  <si>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</si>
  <si>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</si>
  <si>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</si>
  <si>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</si>
  <si>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</si>
  <si>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</si>
  <si>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</si>
  <si>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</si>
  <si>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</si>
  <si>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</si>
  <si>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</si>
  <si>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</si>
  <si>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</si>
  <si>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</si>
  <si>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</si>
  <si>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</si>
  <si>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</si>
  <si>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</si>
  <si>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</si>
  <si>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</si>
  <si>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</si>
  <si>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</si>
  <si>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</si>
  <si>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</si>
  <si>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</si>
  <si>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</si>
  <si>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</si>
  <si>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</si>
  <si>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</si>
  <si>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</si>
  <si>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</si>
  <si>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</si>
  <si>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</si>
  <si>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</si>
  <si>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</si>
  <si>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</si>
  <si>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</si>
  <si>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</si>
  <si>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</si>
  <si>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</si>
  <si>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</si>
  <si>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</si>
  <si>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</si>
  <si>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</si>
  <si>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</si>
  <si>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</si>
  <si>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</si>
  <si>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</si>
  <si>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</si>
  <si>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</si>
  <si>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</si>
  <si>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</si>
  <si>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</si>
  <si>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</si>
  <si>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</si>
  <si>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</si>
  <si>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</si>
  <si>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</si>
  <si>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</si>
  <si>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</si>
  <si>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</si>
  <si>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</si>
  <si>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</si>
  <si>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</si>
  <si>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</si>
  <si>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</si>
  <si>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</si>
  <si>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</si>
  <si>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</si>
  <si>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</si>
  <si>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</si>
  <si>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</si>
  <si>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</si>
  <si>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</si>
  <si>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</si>
  <si>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</si>
  <si>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</si>
  <si>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</si>
  <si>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</si>
  <si>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</si>
  <si>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</si>
  <si>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</si>
  <si>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</si>
  <si>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</si>
  <si>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</si>
  <si>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</si>
  <si>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</si>
  <si>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</si>
  <si>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</si>
  <si>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</si>
  <si>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</si>
  <si>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</si>
  <si>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</si>
  <si>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</si>
  <si>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</si>
  <si>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</si>
  <si>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</si>
  <si>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</si>
  <si>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</si>
  <si>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</si>
  <si>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</si>
  <si>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</si>
  <si>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</si>
  <si>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</si>
  <si>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</si>
  <si>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</si>
  <si>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</si>
  <si>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</si>
  <si>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</si>
  <si>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</si>
  <si>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</si>
  <si>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</si>
  <si>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</si>
  <si>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</si>
  <si>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</si>
  <si>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</si>
  <si>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</si>
  <si>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</si>
  <si>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</si>
  <si>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</si>
  <si>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</si>
  <si>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</si>
  <si>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</si>
  <si>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</si>
  <si>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</si>
  <si>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</si>
  <si>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</si>
  <si>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</si>
  <si>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</si>
  <si>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</si>
  <si>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</si>
  <si>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</si>
  <si>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</si>
  <si>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</si>
  <si>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</si>
  <si>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</si>
  <si>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</si>
  <si>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</si>
  <si>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</si>
  <si>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</si>
  <si>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</si>
  <si>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</si>
  <si>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</si>
  <si>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</si>
  <si>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</si>
  <si>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</si>
  <si>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</si>
  <si>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</si>
  <si>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</si>
  <si>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</si>
  <si>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</si>
  <si>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</si>
  <si>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</si>
  <si>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</si>
  <si>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</si>
  <si>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</si>
  <si>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</si>
  <si>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</si>
  <si>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</si>
  <si>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</si>
  <si>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</si>
  <si>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</si>
  <si>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</si>
  <si>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</si>
  <si>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</si>
  <si>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</si>
  <si>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</si>
  <si>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</si>
  <si>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</si>
  <si>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</si>
  <si>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</si>
  <si>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</si>
  <si>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</si>
  <si>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</si>
  <si>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</si>
  <si>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</si>
  <si>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</si>
  <si>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</si>
  <si>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</si>
  <si>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</si>
  <si>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</si>
  <si>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</si>
  <si>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</si>
  <si>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</si>
  <si>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</si>
  <si>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</si>
  <si>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</si>
  <si>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</si>
  <si>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</si>
  <si>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</si>
  <si>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</si>
  <si>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t>
  </si>
  <si>
    <t xml:space="preserve">conforme AFNOR T90-395 oct. 2003</t>
  </si>
  <si>
    <t xml:space="preserve">Bras des Armeniers</t>
  </si>
  <si>
    <t xml:space="preserve">Sorgues</t>
  </si>
  <si>
    <t xml:space="preserve">06710043</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</si>
  <si>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</si>
  <si>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</si>
  <si>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</si>
  <si>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</si>
  <si>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</si>
  <si>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</si>
  <si>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</si>
  <si>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</si>
  <si>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ch. lentique</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</si>
  <si>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</si>
  <si>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</si>
  <si>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</si>
  <si>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</si>
  <si>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</si>
  <si>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</si>
  <si>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</si>
  <si>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</si>
  <si>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</si>
  <si>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</si>
  <si>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</si>
  <si>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</si>
  <si>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</si>
  <si>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</si>
  <si>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</si>
  <si>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</si>
  <si>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</si>
  <si>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</si>
  <si>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</si>
  <si>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</si>
  <si>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</si>
  <si>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</si>
  <si>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</si>
  <si>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</si>
  <si>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</si>
  <si>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</si>
  <si>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</si>
  <si>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</si>
  <si>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</si>
  <si>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</si>
  <si>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</si>
  <si>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</si>
  <si>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</si>
  <si>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</si>
  <si>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</si>
  <si>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</si>
  <si>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</si>
  <si>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</si>
  <si>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</si>
  <si>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</si>
  <si>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(53,445 %)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</si>
  <si>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</si>
  <si>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</si>
  <si>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</si>
  <si>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</si>
  <si>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</si>
  <si>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</si>
  <si>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</si>
  <si>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</si>
  <si>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</si>
  <si>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</si>
  <si>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</si>
  <si>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</si>
  <si>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</si>
  <si>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</si>
  <si>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</si>
  <si>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</si>
  <si>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</si>
  <si>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</si>
  <si>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</si>
  <si>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</si>
  <si>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Bidens connata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</si>
  <si>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</si>
  <si>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</si>
  <si>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</si>
  <si>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</si>
  <si>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</si>
  <si>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</si>
  <si>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</si>
  <si>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</si>
  <si>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</si>
  <si>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</si>
  <si>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</si>
  <si>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</si>
  <si>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</si>
  <si>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</si>
  <si>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</si>
  <si>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</si>
  <si>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</si>
  <si>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</si>
  <si>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</si>
  <si>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</si>
  <si>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</si>
  <si>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</si>
  <si>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</si>
  <si>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</si>
  <si>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</si>
  <si>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</si>
  <si>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</si>
  <si>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mouille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</si>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</sst>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7.078125</v>
      </c>
      <c r="M5" s="323"/>
      <c r="N5" s="324" t="s">
        <v>258</v>
      </c>
      <c r="O5" s="325" t="n">
        <v>6.9344262295082</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6.42307692307692</v>
      </c>
      <c r="O8" s="354" t="n">
        <f aca="false">IF(ISERROR(AVERAGE(J23:J82)),"      -",AVERAGE(J23:J82))</f>
        <v>1.42307692307692</v>
      </c>
      <c r="P8" s="355"/>
      <c r="Q8" s="280"/>
      <c r="R8" s="280"/>
      <c r="S8" s="280"/>
      <c r="T8" s="280"/>
      <c r="U8" s="280"/>
      <c r="V8" s="280"/>
      <c r="W8" s="292"/>
      <c r="X8" s="293"/>
    </row>
    <row r="9" customFormat="false" ht="13.5" hidden="false" customHeight="false" outlineLevel="0" collapsed="false">
      <c r="A9" s="313" t="s">
        <v>2634</v>
      </c>
      <c r="B9" s="356" t="n">
        <v>53.44</v>
      </c>
      <c r="C9" s="357"/>
      <c r="D9" s="358"/>
      <c r="E9" s="358"/>
      <c r="F9" s="359" t="n">
        <f aca="false">($B9*$B$7+$C9*$C$7)/100</f>
        <v>53.44</v>
      </c>
      <c r="G9" s="360"/>
      <c r="H9" s="361"/>
      <c r="I9" s="362"/>
      <c r="J9" s="363"/>
      <c r="K9" s="343"/>
      <c r="L9" s="364"/>
      <c r="M9" s="353" t="s">
        <v>2635</v>
      </c>
      <c r="N9" s="354" t="n">
        <f aca="false">IF(ISERROR(STDEVP(I23:I82)),"     -",STDEVP(I23:I82))</f>
        <v>3.92401949461045</v>
      </c>
      <c r="O9" s="354" t="n">
        <f aca="false">IF(ISERROR(STDEVP(J23:J82)),"      -",STDEVP(J23:J82))</f>
        <v>0.927074676399535</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4</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2</v>
      </c>
      <c r="L13" s="386"/>
      <c r="M13" s="397" t="s">
        <v>2647</v>
      </c>
      <c r="N13" s="398" t="n">
        <f aca="false">COUNTIF(F23:F82,"&gt;0")</f>
        <v>27</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1</v>
      </c>
      <c r="L14" s="386"/>
      <c r="M14" s="401" t="s">
        <v>2650</v>
      </c>
      <c r="N14" s="402" t="n">
        <f aca="false">COUNTIF($I$23:$I$82,"&gt;-1")</f>
        <v>26</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19</v>
      </c>
      <c r="L15" s="386"/>
      <c r="M15" s="407" t="s">
        <v>2653</v>
      </c>
      <c r="N15" s="408" t="n">
        <f aca="false">COUNTIF(J23:J82,"=1")</f>
        <v>8</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3</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53.445</v>
      </c>
      <c r="C20" s="436" t="n">
        <f aca="false">SUM(C23:C82)</f>
        <v>0</v>
      </c>
      <c r="D20" s="437"/>
      <c r="E20" s="438" t="s">
        <v>2659</v>
      </c>
      <c r="F20" s="439" t="n">
        <f aca="false">($B20*$B$7+$C20*$C$7)/100</f>
        <v>53.445</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53.445</v>
      </c>
      <c r="C21" s="449" t="n">
        <f aca="false">C20*C7/100</f>
        <v>0</v>
      </c>
      <c r="D21" s="381" t="str">
        <f aca="false">IF(F21=0,"",IF((ABS(F21-F19))&gt;(0.2*F21),CONCATENATE(" rec. par taxa (",F21," %) supérieur à 20 % !"),""))</f>
        <v> rec. par taxa (53,445 %) supérieur à 20 % !</v>
      </c>
      <c r="E21" s="450" t="str">
        <f aca="false">IF(F21=0,"",IF((ABS(F21-F19))&gt;(0.2*F21),CONCATENATE("ATTENTION : écart entre rec. par grp (",F19," %) ","et",""),""))</f>
        <v>ATTENTION : écart entre rec. par grp (0 %) et</v>
      </c>
      <c r="F21" s="451" t="n">
        <f aca="false">B21+C21</f>
        <v>53.445</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122</v>
      </c>
      <c r="B23" s="475" t="n">
        <v>0.05</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0.05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0.05</v>
      </c>
      <c r="R23" s="487" t="n">
        <f aca="false">IF(OR(ISTEXT(H23),Q23=0),"",IF(Q23&lt;0.1,1,IF(Q23&lt;1,2,IF(Q23&lt;10,3,IF(Q23&lt;50,4,IF(Q23&gt;=50,5,""))))))</f>
        <v>1</v>
      </c>
      <c r="S23" s="487" t="n">
        <f aca="false">IF(ISERROR(R23*I23),0,R23*I23)</f>
        <v>6</v>
      </c>
      <c r="T23" s="487" t="n">
        <f aca="false">IF(ISERROR(R23*I23*J23),0,R23*I23*J23)</f>
        <v>6</v>
      </c>
      <c r="U23" s="487" t="n">
        <f aca="false">IF(ISERROR(R23*J23),0,R23*J23)</f>
        <v>1</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223</v>
      </c>
      <c r="B24" s="494" t="n">
        <v>0.09</v>
      </c>
      <c r="C24" s="495"/>
      <c r="D24" s="477" t="str">
        <f aca="false">IF(ISERROR(VLOOKUP($A24,'liste reference'!$A$7:$D$904,2,0)),IF(ISERROR(VLOOKUP($A24,'liste reference'!$B$7:$D$904,1,0)),"",VLOOKUP($A24,'liste reference'!$B$7:$D$904,1,0)),VLOOKUP($A24,'liste reference'!$A$7:$D$904,2,0))</f>
        <v>Oedogonium sp.</v>
      </c>
      <c r="E24" s="496" t="e">
        <f aca="false">IF(D24="",0,VLOOKUP(D24,D$22:D23,1,0))</f>
        <v>#N/A</v>
      </c>
      <c r="F24" s="497" t="n">
        <f aca="false">($B24*$B$7+$C24*$C$7)/100</f>
        <v>0.09</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Oedogonium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1134</v>
      </c>
      <c r="Q24" s="486" t="n">
        <f aca="false">IF(ISTEXT(H24),"",(B24*$B$7/100)+(C24*$C$7/100))</f>
        <v>0.09</v>
      </c>
      <c r="R24" s="487" t="n">
        <f aca="false">IF(OR(ISTEXT(H24),Q24=0),"",IF(Q24&lt;0.1,1,IF(Q24&lt;1,2,IF(Q24&lt;10,3,IF(Q24&lt;50,4,IF(Q24&gt;=50,5,""))))))</f>
        <v>1</v>
      </c>
      <c r="S24" s="487" t="n">
        <f aca="false">IF(ISERROR(R24*I24),0,R24*I24)</f>
        <v>6</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OEDSPX</v>
      </c>
      <c r="Z24" s="280" t="n">
        <f aca="false">IF(ISERROR(MATCH(A24,'liste reference'!$A$8:$A$904,0)),IF(ISERROR(MATCH(A24,'liste reference'!$B$8:$B$904,0)),"",(MATCH(A24,'liste reference'!$B$8:$B$904,0))),(MATCH(A24,'liste reference'!$A$8:$A$904,0)))</f>
        <v>55</v>
      </c>
      <c r="AA24" s="491"/>
      <c r="AB24" s="492"/>
      <c r="AC24" s="492"/>
      <c r="BB24" s="280" t="n">
        <f aca="false">IF(A24="","",1)</f>
        <v>1</v>
      </c>
    </row>
    <row r="25" customFormat="false" ht="12.75" hidden="false" customHeight="false" outlineLevel="0" collapsed="false">
      <c r="A25" s="493" t="s">
        <v>228</v>
      </c>
      <c r="B25" s="494" t="n">
        <v>0.05</v>
      </c>
      <c r="C25" s="495"/>
      <c r="D25" s="477" t="str">
        <f aca="false">IF(ISERROR(VLOOKUP($A25,'liste reference'!$A$7:$D$904,2,0)),IF(ISERROR(VLOOKUP($A25,'liste reference'!$B$7:$D$904,1,0)),"",VLOOKUP($A25,'liste reference'!$B$7:$D$904,1,0)),VLOOKUP($A25,'liste reference'!$A$7:$D$904,2,0))</f>
        <v>Phormidium sp.</v>
      </c>
      <c r="E25" s="496" t="e">
        <f aca="false">IF(D25="",0,VLOOKUP(D25,D$22:D24,1,0))</f>
        <v>#N/A</v>
      </c>
      <c r="F25" s="497" t="n">
        <f aca="false">($B25*$B$7+$C25*$C$7)/100</f>
        <v>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6414</v>
      </c>
      <c r="Q25" s="486" t="n">
        <f aca="false">IF(ISTEXT(H25),"",(B25*$B$7/100)+(C25*$C$7/100))</f>
        <v>0.05</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489"/>
      <c r="Y25" s="490" t="str">
        <f aca="false">IF(A25="new.cod","NEWCOD",IF(AND((Z25=""),ISTEXT(A25)),A25,IF(Z25="","",INDEX('liste reference'!$A$8:$A$904,Z25))))</f>
        <v>PHOSPX</v>
      </c>
      <c r="Z25" s="280" t="n">
        <f aca="false">IF(ISERROR(MATCH(A25,'liste reference'!$A$8:$A$904,0)),IF(ISERROR(MATCH(A25,'liste reference'!$B$8:$B$904,0)),"",(MATCH(A25,'liste reference'!$B$8:$B$904,0))),(MATCH(A25,'liste reference'!$A$8:$A$904,0)))</f>
        <v>57</v>
      </c>
      <c r="AA25" s="491"/>
      <c r="AB25" s="492"/>
      <c r="AC25" s="492"/>
      <c r="BB25" s="280" t="n">
        <f aca="false">IF(A25="","",1)</f>
        <v>1</v>
      </c>
    </row>
    <row r="26" customFormat="false" ht="12.75" hidden="false" customHeight="false" outlineLevel="0" collapsed="false">
      <c r="A26" s="493" t="s">
        <v>258</v>
      </c>
      <c r="B26" s="494" t="n">
        <v>1.39</v>
      </c>
      <c r="C26" s="495"/>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1.39</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1.39</v>
      </c>
      <c r="R26" s="487" t="n">
        <f aca="false">IF(OR(ISTEXT(H26),Q26=0),"",IF(Q26&lt;0.1,1,IF(Q26&lt;1,2,IF(Q26&lt;10,3,IF(Q26&lt;50,4,IF(Q26&gt;=50,5,""))))))</f>
        <v>3</v>
      </c>
      <c r="S26" s="487" t="n">
        <f aca="false">IF(ISERROR(R26*I26),0,R26*I26)</f>
        <v>30</v>
      </c>
      <c r="T26" s="487" t="n">
        <f aca="false">IF(ISERROR(R26*I26*J26),0,R26*I26*J26)</f>
        <v>30</v>
      </c>
      <c r="U26" s="499" t="n">
        <f aca="false">IF(ISERROR(R26*J26),0,R26*J26)</f>
        <v>3</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2.75" hidden="false" customHeight="false" outlineLevel="0" collapsed="false">
      <c r="A27" s="493" t="s">
        <v>645</v>
      </c>
      <c r="B27" s="494" t="n">
        <v>0.005</v>
      </c>
      <c r="C27" s="495"/>
      <c r="D27" s="477" t="str">
        <f aca="false">IF(ISERROR(VLOOKUP($A27,'liste reference'!$A$7:$D$904,2,0)),IF(ISERROR(VLOOKUP($A27,'liste reference'!$B$7:$D$904,1,0)),"",VLOOKUP($A27,'liste reference'!$B$7:$D$904,1,0)),VLOOKUP($A27,'liste reference'!$A$7:$D$904,2,0))</f>
        <v>Amblystegium riparium</v>
      </c>
      <c r="E27" s="496" t="e">
        <f aca="false">IF(D27="",0,VLOOKUP(D27,D$22:D26,1,0))</f>
        <v>#N/A</v>
      </c>
      <c r="F27" s="497" t="n">
        <f aca="false">($B27*$B$7+$C27*$C$7)/100</f>
        <v>0.005</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1219</v>
      </c>
      <c r="Q27" s="486" t="n">
        <f aca="false">IF(ISTEXT(H27),"",(B27*$B$7/100)+(C27*$C$7/100))</f>
        <v>0.005</v>
      </c>
      <c r="R27" s="487" t="n">
        <f aca="false">IF(OR(ISTEXT(H27),Q27=0),"",IF(Q27&lt;0.1,1,IF(Q27&lt;1,2,IF(Q27&lt;10,3,IF(Q27&lt;50,4,IF(Q27&gt;=50,5,""))))))</f>
        <v>1</v>
      </c>
      <c r="S27" s="487" t="n">
        <f aca="false">IF(ISERROR(R27*I27),0,R27*I27)</f>
        <v>5</v>
      </c>
      <c r="T27" s="487" t="n">
        <f aca="false">IF(ISERROR(R27*I27*J27),0,R27*I27*J27)</f>
        <v>10</v>
      </c>
      <c r="U27" s="499" t="n">
        <f aca="false">IF(ISERROR(R27*J27),0,R27*J27)</f>
        <v>2</v>
      </c>
      <c r="V27" s="488" t="str">
        <f aca="false">IF(AND(A27="",F27=0),"",IF(F27=0,"Il manque le(s) % de rec. !",""))</f>
        <v/>
      </c>
      <c r="W27" s="489"/>
      <c r="Y27" s="490" t="str">
        <f aca="false">IF(A27="new.cod","NEWCOD",IF(AND((Z27=""),ISTEXT(A27)),A27,IF(Z27="","",INDEX('liste reference'!$A$8:$A$904,Z27))))</f>
        <v>AMBRIP</v>
      </c>
      <c r="Z27" s="280" t="n">
        <f aca="false">IF(ISERROR(MATCH(A27,'liste reference'!$A$8:$A$904,0)),IF(ISERROR(MATCH(A27,'liste reference'!$B$8:$B$904,0)),"",(MATCH(A27,'liste reference'!$B$8:$B$904,0))),(MATCH(A27,'liste reference'!$A$8:$A$904,0)))</f>
        <v>148</v>
      </c>
      <c r="AA27" s="491"/>
      <c r="AB27" s="492"/>
      <c r="AC27" s="492"/>
      <c r="BB27" s="280" t="n">
        <f aca="false">IF(A27="","",1)</f>
        <v>1</v>
      </c>
    </row>
    <row r="28" customFormat="false" ht="12.75" hidden="false" customHeight="false" outlineLevel="0" collapsed="false">
      <c r="A28" s="493" t="s">
        <v>959</v>
      </c>
      <c r="B28" s="494" t="n">
        <v>0.005</v>
      </c>
      <c r="C28" s="495"/>
      <c r="D28" s="477" t="str">
        <f aca="false">IF(ISERROR(VLOOKUP($A28,'liste reference'!$A$7:$D$904,2,0)),IF(ISERROR(VLOOKUP($A28,'liste reference'!$B$7:$D$904,1,0)),"",VLOOKUP($A28,'liste reference'!$B$7:$D$904,1,0)),VLOOKUP($A28,'liste reference'!$A$7:$D$904,2,0))</f>
        <v>Octodiceras fontanum</v>
      </c>
      <c r="E28" s="496" t="e">
        <f aca="false">IF(D28="",0,VLOOKUP(D28,D$22:D27,1,0))</f>
        <v>#N/A</v>
      </c>
      <c r="F28" s="497" t="n">
        <f aca="false">($B28*$B$7+$C28*$C$7)/100</f>
        <v>0.005</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7</v>
      </c>
      <c r="J28" s="481" t="n">
        <f aca="false">IF(ISNUMBER(H28),IF(ISERROR(VLOOKUP($A28,'liste reference'!$A$7:$P$904,4,0)),IF(ISERROR(VLOOKUP($A28,'liste reference'!$B$7:$P$904,3,0)),"",VLOOKUP($A28,'liste reference'!$B$7:$P$904,3,0)),VLOOKUP($A28,'liste reference'!$A$7:$P$904,4,0)),"")</f>
        <v>3</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Octodiceras fontanum</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1303</v>
      </c>
      <c r="Q28" s="486" t="n">
        <f aca="false">IF(ISTEXT(H28),"",(B28*$B$7/100)+(C28*$C$7/100))</f>
        <v>0.005</v>
      </c>
      <c r="R28" s="487" t="n">
        <f aca="false">IF(OR(ISTEXT(H28),Q28=0),"",IF(Q28&lt;0.1,1,IF(Q28&lt;1,2,IF(Q28&lt;10,3,IF(Q28&lt;50,4,IF(Q28&gt;=50,5,""))))))</f>
        <v>1</v>
      </c>
      <c r="S28" s="487" t="n">
        <f aca="false">IF(ISERROR(R28*I28),0,R28*I28)</f>
        <v>7</v>
      </c>
      <c r="T28" s="487" t="n">
        <f aca="false">IF(ISERROR(R28*I28*J28),0,R28*I28*J28)</f>
        <v>21</v>
      </c>
      <c r="U28" s="499" t="n">
        <f aca="false">IF(ISERROR(R28*J28),0,R28*J28)</f>
        <v>3</v>
      </c>
      <c r="V28" s="488" t="str">
        <f aca="false">IF(AND(A28="",F28=0),"",IF(F28=0,"Il manque le(s) % de rec. !",""))</f>
        <v/>
      </c>
      <c r="W28" s="489"/>
      <c r="Y28" s="490" t="str">
        <f aca="false">IF(A28="new.cod","NEWCOD",IF(AND((Z28=""),ISTEXT(A28)),A28,IF(Z28="","",INDEX('liste reference'!$A$8:$A$904,Z28))))</f>
        <v>OCTFON</v>
      </c>
      <c r="Z28" s="280" t="n">
        <f aca="false">IF(ISERROR(MATCH(A28,'liste reference'!$A$8:$A$904,0)),IF(ISERROR(MATCH(A28,'liste reference'!$B$8:$B$904,0)),"",(MATCH(A28,'liste reference'!$B$8:$B$904,0))),(MATCH(A28,'liste reference'!$A$8:$A$904,0)))</f>
        <v>228</v>
      </c>
      <c r="AA28" s="491"/>
      <c r="AB28" s="492"/>
      <c r="AC28" s="492"/>
      <c r="BB28" s="280" t="n">
        <f aca="false">IF(A28="","",1)</f>
        <v>1</v>
      </c>
    </row>
    <row r="29" customFormat="false" ht="12.75" hidden="false" customHeight="false" outlineLevel="0" collapsed="false">
      <c r="A29" s="493" t="s">
        <v>1141</v>
      </c>
      <c r="B29" s="494" t="n">
        <v>0.09</v>
      </c>
      <c r="C29" s="495"/>
      <c r="D29" s="477" t="str">
        <f aca="false">IF(ISERROR(VLOOKUP($A29,'liste reference'!$A$7:$D$904,2,0)),IF(ISERROR(VLOOKUP($A29,'liste reference'!$B$7:$D$904,1,0)),"",VLOOKUP($A29,'liste reference'!$B$7:$D$904,1,0)),VLOOKUP($A29,'liste reference'!$A$7:$D$904,2,0))</f>
        <v>Azolla filiculoides</v>
      </c>
      <c r="E29" s="496" t="e">
        <f aca="false">IF(D29="",0,VLOOKUP(D29,D$22:D28,1,0))</f>
        <v>#N/A</v>
      </c>
      <c r="F29" s="497" t="n">
        <f aca="false">($B29*$B$7+$C29*$C$7)/100</f>
        <v>0.09</v>
      </c>
      <c r="G29" s="479" t="str">
        <f aca="false">IF(A29="","",IF(ISERROR(VLOOKUP($A29,'liste reference'!$A$7:$P$904,13,0)),IF(ISERROR(VLOOKUP($A29,'liste reference'!$B$7:$P$904,12,0)),"    -",VLOOKUP($A29,'liste reference'!$B$7:$P$904,12,0)),VLOOKUP($A29,'liste reference'!$A$7:$P$904,13,0)))</f>
        <v>PTE</v>
      </c>
      <c r="H29" s="480" t="n">
        <f aca="false">IF(A29="","x",IF(ISERROR(VLOOKUP($A29,'liste reference'!$A$8:$P$904,14,0)),IF(ISERROR(VLOOKUP($A29,'liste reference'!$B$8:$P$904,13,0)),"x",VLOOKUP($A29,'liste reference'!$B$8:$P$904,13,0)),VLOOKUP($A29,'liste reference'!$A$8:$P$904,14,0)))</f>
        <v>6</v>
      </c>
      <c r="I29" s="481" t="n">
        <f aca="false">IF(ISNUMBER(H29),IF(ISERROR(VLOOKUP($A29,'liste reference'!$A$7:$P$904,3,0)),IF(ISERROR(VLOOKUP($A29,'liste reference'!$B$7:$P$904,2,0)),"",VLOOKUP($A29,'liste reference'!$B$7:$P$904,2,0)),VLOOKUP($A29,'liste reference'!$A$7:$P$904,3,0)),"")</f>
        <v>6</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Azolla filiculoides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1439</v>
      </c>
      <c r="Q29" s="486" t="n">
        <f aca="false">IF(ISTEXT(H29),"",(B29*$B$7/100)+(C29*$C$7/100))</f>
        <v>0.09</v>
      </c>
      <c r="R29" s="487" t="n">
        <f aca="false">IF(OR(ISTEXT(H29),Q29=0),"",IF(Q29&lt;0.1,1,IF(Q29&lt;1,2,IF(Q29&lt;10,3,IF(Q29&lt;50,4,IF(Q29&gt;=50,5,""))))))</f>
        <v>1</v>
      </c>
      <c r="S29" s="487" t="n">
        <f aca="false">IF(ISERROR(R29*I29),0,R29*I29)</f>
        <v>6</v>
      </c>
      <c r="T29" s="487" t="n">
        <f aca="false">IF(ISERROR(R29*I29*J29),0,R29*I29*J29)</f>
        <v>18</v>
      </c>
      <c r="U29" s="499" t="n">
        <f aca="false">IF(ISERROR(R29*J29),0,R29*J29)</f>
        <v>3</v>
      </c>
      <c r="V29" s="488" t="str">
        <f aca="false">IF(AND(A29="",F29=0),"",IF(F29=0,"Il manque le(s) % de rec. !",""))</f>
        <v/>
      </c>
      <c r="W29" s="489"/>
      <c r="Y29" s="490" t="str">
        <f aca="false">IF(A29="new.cod","NEWCOD",IF(AND((Z29=""),ISTEXT(A29)),A29,IF(Z29="","",INDEX('liste reference'!$A$8:$A$904,Z29))))</f>
        <v>AZOFIL</v>
      </c>
      <c r="Z29" s="280" t="n">
        <f aca="false">IF(ISERROR(MATCH(A29,'liste reference'!$A$8:$A$904,0)),IF(ISERROR(MATCH(A29,'liste reference'!$B$8:$B$904,0)),"",(MATCH(A29,'liste reference'!$B$8:$B$904,0))),(MATCH(A29,'liste reference'!$A$8:$A$904,0)))</f>
        <v>273</v>
      </c>
      <c r="AA29" s="491"/>
      <c r="AB29" s="492"/>
      <c r="AC29" s="492"/>
      <c r="BB29" s="280" t="n">
        <f aca="false">IF(A29="","",1)</f>
        <v>1</v>
      </c>
    </row>
    <row r="30" customFormat="false" ht="12.75" hidden="false" customHeight="false" outlineLevel="0" collapsed="false">
      <c r="A30" s="493" t="s">
        <v>1277</v>
      </c>
      <c r="B30" s="494" t="n">
        <v>28.21</v>
      </c>
      <c r="C30" s="495"/>
      <c r="D30" s="477" t="str">
        <f aca="false">IF(ISERROR(VLOOKUP($A30,'liste reference'!$A$7:$D$904,2,0)),IF(ISERROR(VLOOKUP($A30,'liste reference'!$B$7:$D$904,1,0)),"",VLOOKUP($A30,'liste reference'!$B$7:$D$904,1,0)),VLOOKUP($A30,'liste reference'!$A$7:$D$904,2,0))</f>
        <v>Ceratophyllum demersum</v>
      </c>
      <c r="E30" s="496" t="e">
        <f aca="false">IF(D30="",0,VLOOKUP(D30,D$22:D23,1,0))</f>
        <v>#N/A</v>
      </c>
      <c r="F30" s="497" t="n">
        <f aca="false">($B30*$B$7+$C30*$C$7)/100</f>
        <v>28.21</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Ceratophyllum demersum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1717</v>
      </c>
      <c r="Q30" s="486" t="n">
        <f aca="false">IF(ISTEXT(H30),"",(B30*$B$7/100)+(C30*$C$7/100))</f>
        <v>28.21</v>
      </c>
      <c r="R30" s="487" t="n">
        <f aca="false">IF(OR(ISTEXT(H30),Q30=0),"",IF(Q30&lt;0.1,1,IF(Q30&lt;1,2,IF(Q30&lt;10,3,IF(Q30&lt;50,4,IF(Q30&gt;=50,5,""))))))</f>
        <v>4</v>
      </c>
      <c r="S30" s="487" t="n">
        <f aca="false">IF(ISERROR(R30*I30),0,R30*I30)</f>
        <v>20</v>
      </c>
      <c r="T30" s="487" t="n">
        <f aca="false">IF(ISERROR(R30*I30*J30),0,R30*I30*J30)</f>
        <v>40</v>
      </c>
      <c r="U30" s="499" t="n">
        <f aca="false">IF(ISERROR(R30*J30),0,R30*J30)</f>
        <v>8</v>
      </c>
      <c r="V30" s="488" t="str">
        <f aca="false">IF(AND(A30="",F30=0),"",IF(F30=0,"Il manque le(s) % de rec. !",""))</f>
        <v/>
      </c>
      <c r="W30" s="489"/>
      <c r="Y30" s="490" t="str">
        <f aca="false">IF(A30="new.cod","NEWCOD",IF(AND((Z30=""),ISTEXT(A30)),A30,IF(Z30="","",INDEX('liste reference'!$A$8:$A$904,Z30))))</f>
        <v>CERDEM</v>
      </c>
      <c r="Z30" s="280" t="n">
        <f aca="false">IF(ISERROR(MATCH(A30,'liste reference'!$A$8:$A$904,0)),IF(ISERROR(MATCH(A30,'liste reference'!$B$8:$B$904,0)),"",(MATCH(A30,'liste reference'!$B$8:$B$904,0))),(MATCH(A30,'liste reference'!$A$8:$A$904,0)))</f>
        <v>330</v>
      </c>
      <c r="AA30" s="491"/>
      <c r="AB30" s="492"/>
      <c r="AC30" s="492"/>
      <c r="BB30" s="280" t="n">
        <f aca="false">IF(A30="","",1)</f>
        <v>1</v>
      </c>
    </row>
    <row r="31" customFormat="false" ht="12.75" hidden="false" customHeight="false" outlineLevel="0" collapsed="false">
      <c r="A31" s="493" t="s">
        <v>1291</v>
      </c>
      <c r="B31" s="494" t="n">
        <v>0.05</v>
      </c>
      <c r="C31" s="495"/>
      <c r="D31" s="477" t="str">
        <f aca="false">IF(ISERROR(VLOOKUP($A31,'liste reference'!$A$7:$D$904,2,0)),IF(ISERROR(VLOOKUP($A31,'liste reference'!$B$7:$D$904,1,0)),"",VLOOKUP($A31,'liste reference'!$B$7:$D$904,1,0)),VLOOKUP($A31,'liste reference'!$A$7:$D$904,2,0))</f>
        <v>Egeria densa</v>
      </c>
      <c r="E31" s="496" t="e">
        <f aca="false">IF(D31="",0,VLOOKUP(D31,D$22:D30,1,0))</f>
        <v>#N/A</v>
      </c>
      <c r="F31" s="497" t="n">
        <f aca="false">($B31*$B$7+$C31*$C$7)/100</f>
        <v>0.05</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Egeria densa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19626</v>
      </c>
      <c r="Q31" s="486" t="n">
        <f aca="false">IF(ISTEXT(H31),"",(B31*$B$7/100)+(C31*$C$7/100))</f>
        <v>0.05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EGEDEN</v>
      </c>
      <c r="Z31" s="280" t="n">
        <f aca="false">IF(ISERROR(MATCH(A31,'liste reference'!$A$8:$A$904,0)),IF(ISERROR(MATCH(A31,'liste reference'!$B$8:$B$904,0)),"",(MATCH(A31,'liste reference'!$B$8:$B$904,0))),(MATCH(A31,'liste reference'!$A$8:$A$904,0)))</f>
        <v>337</v>
      </c>
      <c r="AA31" s="491"/>
      <c r="AB31" s="492"/>
      <c r="AC31" s="492"/>
      <c r="BB31" s="280" t="n">
        <f aca="false">IF(A31="","",1)</f>
        <v>1</v>
      </c>
    </row>
    <row r="32" customFormat="false" ht="12.75" hidden="false" customHeight="false" outlineLevel="0" collapsed="false">
      <c r="A32" s="493" t="s">
        <v>1300</v>
      </c>
      <c r="B32" s="494" t="n">
        <v>0.09</v>
      </c>
      <c r="C32" s="495"/>
      <c r="D32" s="477" t="str">
        <f aca="false">IF(ISERROR(VLOOKUP($A32,'liste reference'!$A$7:$D$904,2,0)),IF(ISERROR(VLOOKUP($A32,'liste reference'!$B$7:$D$904,1,0)),"",VLOOKUP($A32,'liste reference'!$B$7:$D$904,1,0)),VLOOKUP($A32,'liste reference'!$A$7:$D$904,2,0))</f>
        <v>Elodea canadensis</v>
      </c>
      <c r="E32" s="496" t="e">
        <f aca="false">IF(D32="",0,VLOOKUP(D32,D$22:D31,1,0))</f>
        <v>#N/A</v>
      </c>
      <c r="F32" s="497" t="n">
        <f aca="false">($B32*$B$7+$C32*$C$7)/100</f>
        <v>0.09</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Elodea canadensis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1586</v>
      </c>
      <c r="Q32" s="486" t="n">
        <f aca="false">IF(ISTEXT(H32),"",(B32*$B$7/100)+(C32*$C$7/100))</f>
        <v>0.09</v>
      </c>
      <c r="R32" s="487" t="n">
        <f aca="false">IF(OR(ISTEXT(H32),Q32=0),"",IF(Q32&lt;0.1,1,IF(Q32&lt;1,2,IF(Q32&lt;10,3,IF(Q32&lt;50,4,IF(Q32&gt;=50,5,""))))))</f>
        <v>1</v>
      </c>
      <c r="S32" s="487" t="n">
        <f aca="false">IF(ISERROR(R32*I32),0,R32*I32)</f>
        <v>10</v>
      </c>
      <c r="T32" s="487" t="n">
        <f aca="false">IF(ISERROR(R32*I32*J32),0,R32*I32*J32)</f>
        <v>20</v>
      </c>
      <c r="U32" s="499" t="n">
        <f aca="false">IF(ISERROR(R32*J32),0,R32*J32)</f>
        <v>2</v>
      </c>
      <c r="V32" s="488" t="str">
        <f aca="false">IF(AND(A32="",F32=0),"",IF(F32=0,"Il manque le(s) % de rec. !",""))</f>
        <v/>
      </c>
      <c r="W32" s="489"/>
      <c r="Y32" s="490" t="str">
        <f aca="false">IF(A32="new.cod","NEWCOD",IF(AND((Z32=""),ISTEXT(A32)),A32,IF(Z32="","",INDEX('liste reference'!$A$8:$A$904,Z32))))</f>
        <v>ELOCAN</v>
      </c>
      <c r="Z32" s="280" t="n">
        <f aca="false">IF(ISERROR(MATCH(A32,'liste reference'!$A$8:$A$904,0)),IF(ISERROR(MATCH(A32,'liste reference'!$B$8:$B$904,0)),"",(MATCH(A32,'liste reference'!$B$8:$B$904,0))),(MATCH(A32,'liste reference'!$A$8:$A$904,0)))</f>
        <v>341</v>
      </c>
      <c r="AA32" s="491"/>
      <c r="AB32" s="492"/>
      <c r="AC32" s="492"/>
      <c r="BB32" s="280" t="n">
        <f aca="false">IF(A32="","",1)</f>
        <v>1</v>
      </c>
    </row>
    <row r="33" customFormat="false" ht="12.75" hidden="false" customHeight="false" outlineLevel="0" collapsed="false">
      <c r="A33" s="493" t="s">
        <v>1337</v>
      </c>
      <c r="B33" s="494" t="n">
        <v>0.14</v>
      </c>
      <c r="C33" s="495"/>
      <c r="D33" s="477" t="str">
        <f aca="false">IF(ISERROR(VLOOKUP($A33,'liste reference'!$A$7:$D$904,2,0)),IF(ISERROR(VLOOKUP($A33,'liste reference'!$B$7:$D$904,1,0)),"",VLOOKUP($A33,'liste reference'!$B$7:$D$904,1,0)),VLOOKUP($A33,'liste reference'!$A$7:$D$904,2,0))</f>
        <v>Lemna minor</v>
      </c>
      <c r="E33" s="496" t="e">
        <f aca="false">IF(D33="",0,VLOOKUP(D33,D$22:D32,1,0))</f>
        <v>#N/A</v>
      </c>
      <c r="F33" s="497" t="n">
        <f aca="false">($B33*$B$7+$C33*$C$7)/100</f>
        <v>0.14</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Lemna minor</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1626</v>
      </c>
      <c r="Q33" s="486" t="n">
        <f aca="false">IF(ISTEXT(H33),"",(B33*$B$7/100)+(C33*$C$7/100))</f>
        <v>0.14</v>
      </c>
      <c r="R33" s="487" t="n">
        <f aca="false">IF(OR(ISTEXT(H33),Q33=0),"",IF(Q33&lt;0.1,1,IF(Q33&lt;1,2,IF(Q33&lt;10,3,IF(Q33&lt;50,4,IF(Q33&gt;=50,5,""))))))</f>
        <v>2</v>
      </c>
      <c r="S33" s="487" t="n">
        <f aca="false">IF(ISERROR(R33*I33),0,R33*I33)</f>
        <v>20</v>
      </c>
      <c r="T33" s="487" t="n">
        <f aca="false">IF(ISERROR(R33*I33*J33),0,R33*I33*J33)</f>
        <v>20</v>
      </c>
      <c r="U33" s="499" t="n">
        <f aca="false">IF(ISERROR(R33*J33),0,R33*J33)</f>
        <v>2</v>
      </c>
      <c r="V33" s="488" t="str">
        <f aca="false">IF(AND(A33="",F33=0),"",IF(F33=0,"Il manque le(s) % de rec. !",""))</f>
        <v/>
      </c>
      <c r="W33" s="489"/>
      <c r="Y33" s="490" t="str">
        <f aca="false">IF(A33="new.cod","NEWCOD",IF(AND((Z33=""),ISTEXT(A33)),A33,IF(Z33="","",INDEX('liste reference'!$A$8:$A$904,Z33))))</f>
        <v>LEMMIN</v>
      </c>
      <c r="Z33" s="280" t="n">
        <f aca="false">IF(ISERROR(MATCH(A33,'liste reference'!$A$8:$A$904,0)),IF(ISERROR(MATCH(A33,'liste reference'!$B$8:$B$904,0)),"",(MATCH(A33,'liste reference'!$B$8:$B$904,0))),(MATCH(A33,'liste reference'!$A$8:$A$904,0)))</f>
        <v>357</v>
      </c>
      <c r="AA33" s="491"/>
      <c r="AB33" s="492"/>
      <c r="AC33" s="492"/>
      <c r="BB33" s="280" t="n">
        <f aca="false">IF(A33="","",1)</f>
        <v>1</v>
      </c>
    </row>
    <row r="34" customFormat="false" ht="12.75" hidden="false" customHeight="false" outlineLevel="0" collapsed="false">
      <c r="A34" s="493" t="s">
        <v>1339</v>
      </c>
      <c r="B34" s="494" t="n">
        <v>3.45</v>
      </c>
      <c r="C34" s="495"/>
      <c r="D34" s="477" t="str">
        <f aca="false">IF(ISERROR(VLOOKUP($A34,'liste reference'!$A$7:$D$904,2,0)),IF(ISERROR(VLOOKUP($A34,'liste reference'!$B$7:$D$904,1,0)),"",VLOOKUP($A34,'liste reference'!$B$7:$D$904,1,0)),VLOOKUP($A34,'liste reference'!$A$7:$D$904,2,0))</f>
        <v>Lemna minuscula</v>
      </c>
      <c r="E34" s="496" t="e">
        <f aca="false">IF(D34="",0,VLOOKUP(D34,D$22:D33,1,0))</f>
        <v>#N/A</v>
      </c>
      <c r="F34" s="500" t="n">
        <f aca="false">($B34*$B$7+$C34*$C$7)/100</f>
        <v>3.45</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Lemna minuscula</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1627</v>
      </c>
      <c r="Q34" s="486" t="n">
        <f aca="false">IF(ISTEXT(H34),"",(B34*$B$7/100)+(C34*$C$7/100))</f>
        <v>3.45</v>
      </c>
      <c r="R34" s="487" t="n">
        <f aca="false">IF(OR(ISTEXT(H34),Q34=0),"",IF(Q34&lt;0.1,1,IF(Q34&lt;1,2,IF(Q34&lt;10,3,IF(Q34&lt;50,4,IF(Q34&gt;=50,5,""))))))</f>
        <v>3</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LEMMIU</v>
      </c>
      <c r="Z34" s="280" t="n">
        <f aca="false">IF(ISERROR(MATCH(A34,'liste reference'!$A$8:$A$904,0)),IF(ISERROR(MATCH(A34,'liste reference'!$B$8:$B$904,0)),"",(MATCH(A34,'liste reference'!$B$8:$B$904,0))),(MATCH(A34,'liste reference'!$A$8:$A$904,0)))</f>
        <v>358</v>
      </c>
      <c r="AA34" s="491"/>
      <c r="AB34" s="492"/>
      <c r="AC34" s="492"/>
      <c r="BB34" s="280" t="n">
        <f aca="false">IF(A34="","",1)</f>
        <v>1</v>
      </c>
    </row>
    <row r="35" customFormat="false" ht="12.75" hidden="false" customHeight="false" outlineLevel="0" collapsed="false">
      <c r="A35" s="493" t="s">
        <v>1375</v>
      </c>
      <c r="B35" s="494" t="n">
        <v>2.22</v>
      </c>
      <c r="C35" s="495"/>
      <c r="D35" s="477" t="str">
        <f aca="false">IF(ISERROR(VLOOKUP($A35,'liste reference'!$A$7:$D$904,2,0)),IF(ISERROR(VLOOKUP($A35,'liste reference'!$B$7:$D$904,1,0)),"",VLOOKUP($A35,'liste reference'!$B$7:$D$904,1,0)),VLOOKUP($A35,'liste reference'!$A$7:$D$904,2,0))</f>
        <v>Myriophyllum spicatum</v>
      </c>
      <c r="E35" s="496" t="e">
        <f aca="false">IF(D35="",0,VLOOKUP(D35,D$22:D34,1,0))</f>
        <v>#N/A</v>
      </c>
      <c r="F35" s="500" t="n">
        <f aca="false">($B35*$B$7+$C35*$C$7)/100</f>
        <v>2.22</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8</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Myriophyllum spicatum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1778</v>
      </c>
      <c r="Q35" s="486" t="n">
        <f aca="false">IF(ISTEXT(H35),"",(B35*$B$7/100)+(C35*$C$7/100))</f>
        <v>2.22</v>
      </c>
      <c r="R35" s="487" t="n">
        <f aca="false">IF(OR(ISTEXT(H35),Q35=0),"",IF(Q35&lt;0.1,1,IF(Q35&lt;1,2,IF(Q35&lt;10,3,IF(Q35&lt;50,4,IF(Q35&gt;=50,5,""))))))</f>
        <v>3</v>
      </c>
      <c r="S35" s="487" t="n">
        <f aca="false">IF(ISERROR(R35*I35),0,R35*I35)</f>
        <v>24</v>
      </c>
      <c r="T35" s="487" t="n">
        <f aca="false">IF(ISERROR(R35*I35*J35),0,R35*I35*J35)</f>
        <v>48</v>
      </c>
      <c r="U35" s="499" t="n">
        <f aca="false">IF(ISERROR(R35*J35),0,R35*J35)</f>
        <v>6</v>
      </c>
      <c r="V35" s="488" t="str">
        <f aca="false">IF(AND(A35="",F35=0),"",IF(F35=0,"Il manque le(s) % de rec. !",""))</f>
        <v/>
      </c>
      <c r="W35" s="489"/>
      <c r="Y35" s="490" t="str">
        <f aca="false">IF(A35="new.cod","NEWCOD",IF(AND((Z35=""),ISTEXT(A35)),A35,IF(Z35="","",INDEX('liste reference'!$A$8:$A$904,Z35))))</f>
        <v>MYRSPI</v>
      </c>
      <c r="Z35" s="280" t="n">
        <f aca="false">IF(ISERROR(MATCH(A35,'liste reference'!$A$8:$A$904,0)),IF(ISERROR(MATCH(A35,'liste reference'!$B$8:$B$904,0)),"",(MATCH(A35,'liste reference'!$B$8:$B$904,0))),(MATCH(A35,'liste reference'!$A$8:$A$904,0)))</f>
        <v>373</v>
      </c>
      <c r="AA35" s="491"/>
      <c r="AB35" s="492"/>
      <c r="AC35" s="492"/>
      <c r="BB35" s="280" t="n">
        <f aca="false">IF(A35="","",1)</f>
        <v>1</v>
      </c>
    </row>
    <row r="36" customFormat="false" ht="12.75" hidden="false" customHeight="false" outlineLevel="0" collapsed="false">
      <c r="A36" s="493" t="s">
        <v>1387</v>
      </c>
      <c r="B36" s="494" t="n">
        <v>4.77</v>
      </c>
      <c r="C36" s="495"/>
      <c r="D36" s="477" t="str">
        <f aca="false">IF(ISERROR(VLOOKUP($A36,'liste reference'!$A$7:$D$904,2,0)),IF(ISERROR(VLOOKUP($A36,'liste reference'!$B$7:$D$904,1,0)),"",VLOOKUP($A36,'liste reference'!$B$7:$D$904,1,0)),VLOOKUP($A36,'liste reference'!$A$7:$D$904,2,0))</f>
        <v>Najas marina</v>
      </c>
      <c r="E36" s="496" t="e">
        <f aca="false">IF(D36="",0,VLOOKUP(D36,D$22:D35,1,0))</f>
        <v>#N/A</v>
      </c>
      <c r="F36" s="500" t="n">
        <f aca="false">($B36*$B$7+$C36*$C$7)/100</f>
        <v>4.77</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5</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Najas marina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1835</v>
      </c>
      <c r="Q36" s="486" t="n">
        <f aca="false">IF(ISTEXT(H36),"",(B36*$B$7/100)+(C36*$C$7/100))</f>
        <v>4.77</v>
      </c>
      <c r="R36" s="487" t="n">
        <f aca="false">IF(OR(ISTEXT(H36),Q36=0),"",IF(Q36&lt;0.1,1,IF(Q36&lt;1,2,IF(Q36&lt;10,3,IF(Q36&lt;50,4,IF(Q36&gt;=50,5,""))))))</f>
        <v>3</v>
      </c>
      <c r="S36" s="487" t="n">
        <f aca="false">IF(ISERROR(R36*I36),0,R36*I36)</f>
        <v>15</v>
      </c>
      <c r="T36" s="487" t="n">
        <f aca="false">IF(ISERROR(R36*I36*J36),0,R36*I36*J36)</f>
        <v>45</v>
      </c>
      <c r="U36" s="499" t="n">
        <f aca="false">IF(ISERROR(R36*J36),0,R36*J36)</f>
        <v>9</v>
      </c>
      <c r="V36" s="488" t="str">
        <f aca="false">IF(AND(A36="",F36=0),"",IF(F36=0,"Il manque le(s) % de rec. !",""))</f>
        <v/>
      </c>
      <c r="W36" s="489"/>
      <c r="Y36" s="490" t="str">
        <f aca="false">IF(A36="new.cod","NEWCOD",IF(AND((Z36=""),ISTEXT(A36)),A36,IF(Z36="","",INDEX('liste reference'!$A$8:$A$904,Z36))))</f>
        <v>NAJMAR</v>
      </c>
      <c r="Z36" s="280" t="n">
        <f aca="false">IF(ISERROR(MATCH(A36,'liste reference'!$A$8:$A$904,0)),IF(ISERROR(MATCH(A36,'liste reference'!$B$8:$B$904,0)),"",(MATCH(A36,'liste reference'!$B$8:$B$904,0))),(MATCH(A36,'liste reference'!$A$8:$A$904,0)))</f>
        <v>379</v>
      </c>
      <c r="AA36" s="491"/>
      <c r="AB36" s="492"/>
      <c r="AC36" s="492"/>
      <c r="BB36" s="280" t="n">
        <f aca="false">IF(A36="","",1)</f>
        <v>1</v>
      </c>
    </row>
    <row r="37" customFormat="false" ht="12.75" hidden="false" customHeight="false" outlineLevel="0" collapsed="false">
      <c r="A37" s="493" t="s">
        <v>1408</v>
      </c>
      <c r="B37" s="494" t="n">
        <v>0.05</v>
      </c>
      <c r="C37" s="495"/>
      <c r="D37" s="477" t="str">
        <f aca="false">IF(ISERROR(VLOOKUP($A37,'liste reference'!$A$7:$D$904,2,0)),IF(ISERROR(VLOOKUP($A37,'liste reference'!$B$7:$D$904,1,0)),"",VLOOKUP($A37,'liste reference'!$B$7:$D$904,1,0)),VLOOKUP($A37,'liste reference'!$A$7:$D$904,2,0))</f>
        <v>Nuphar lutea</v>
      </c>
      <c r="E37" s="496" t="e">
        <f aca="false">IF(D37="",0,VLOOKUP(D37,D$22:D29,1,0))</f>
        <v>#N/A</v>
      </c>
      <c r="F37" s="500" t="n">
        <f aca="false">($B37*$B$7+$C37*$C$7)/100</f>
        <v>0.05</v>
      </c>
      <c r="G37" s="479" t="str">
        <f aca="false">IF(A37="","",IF(ISERROR(VLOOKUP($A37,'liste reference'!$A$7:$P$904,13,0)),IF(ISERROR(VLOOKUP($A37,'liste reference'!$B$7:$P$904,12,0)),"    -",VLOOKUP($A37,'liste reference'!$B$7:$P$904,12,0)),VLOOKUP($A37,'liste reference'!$A$7:$P$904,13,0)))</f>
        <v>PHy</v>
      </c>
      <c r="H37" s="480" t="n">
        <f aca="false">IF(A37="","x",IF(ISERROR(VLOOKUP($A37,'liste reference'!$A$8:$P$904,14,0)),IF(ISERROR(VLOOKUP($A37,'liste reference'!$B$8:$P$904,13,0)),"x",VLOOKUP($A37,'liste reference'!$B$8:$P$904,13,0)),VLOOKUP($A37,'liste reference'!$A$8:$P$904,14,0)))</f>
        <v>7</v>
      </c>
      <c r="I37" s="481" t="n">
        <f aca="false">IF(ISNUMBER(H37),IF(ISERROR(VLOOKUP($A37,'liste reference'!$A$7:$P$904,3,0)),IF(ISERROR(VLOOKUP($A37,'liste reference'!$B$7:$P$904,2,0)),"",VLOOKUP($A37,'liste reference'!$B$7:$P$904,2,0)),VLOOKUP($A37,'liste reference'!$A$7:$P$904,3,0)),"")</f>
        <v>9</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Nuphar lutea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1839</v>
      </c>
      <c r="Q37" s="486" t="n">
        <f aca="false">IF(ISTEXT(H37),"",(B37*$B$7/100)+(C37*$C$7/100))</f>
        <v>0.05</v>
      </c>
      <c r="R37" s="487" t="n">
        <f aca="false">IF(OR(ISTEXT(H37),Q37=0),"",IF(Q37&lt;0.1,1,IF(Q37&lt;1,2,IF(Q37&lt;10,3,IF(Q37&lt;50,4,IF(Q37&gt;=50,5,""))))))</f>
        <v>1</v>
      </c>
      <c r="S37" s="487" t="n">
        <f aca="false">IF(ISERROR(R37*I37),0,R37*I37)</f>
        <v>9</v>
      </c>
      <c r="T37" s="487" t="n">
        <f aca="false">IF(ISERROR(R37*I37*J37),0,R37*I37*J37)</f>
        <v>9</v>
      </c>
      <c r="U37" s="499" t="n">
        <f aca="false">IF(ISERROR(R37*J37),0,R37*J37)</f>
        <v>1</v>
      </c>
      <c r="V37" s="488" t="str">
        <f aca="false">IF(AND(A37="",F37=0),"",IF(F37=0,"Il manque le(s) % de rec. !",""))</f>
        <v/>
      </c>
      <c r="W37" s="489"/>
      <c r="Y37" s="490" t="str">
        <f aca="false">IF(A37="new.cod","NEWCOD",IF(AND((Z37=""),ISTEXT(A37)),A37,IF(Z37="","",INDEX('liste reference'!$A$8:$A$904,Z37))))</f>
        <v>NUPLUT</v>
      </c>
      <c r="Z37" s="280" t="n">
        <f aca="false">IF(ISERROR(MATCH(A37,'liste reference'!$A$8:$A$904,0)),IF(ISERROR(MATCH(A37,'liste reference'!$B$8:$B$904,0)),"",(MATCH(A37,'liste reference'!$B$8:$B$904,0))),(MATCH(A37,'liste reference'!$A$8:$A$904,0)))</f>
        <v>389</v>
      </c>
      <c r="AA37" s="491"/>
      <c r="AB37" s="492"/>
      <c r="AC37" s="492"/>
      <c r="BB37" s="280" t="n">
        <f aca="false">IF(A37="","",1)</f>
        <v>1</v>
      </c>
    </row>
    <row r="38" customFormat="false" ht="12.75" hidden="false" customHeight="false" outlineLevel="0" collapsed="false">
      <c r="A38" s="493" t="s">
        <v>1487</v>
      </c>
      <c r="B38" s="494" t="n">
        <v>0.05</v>
      </c>
      <c r="C38" s="495"/>
      <c r="D38" s="477" t="str">
        <f aca="false">IF(ISERROR(VLOOKUP($A38,'liste reference'!$A$7:$D$904,2,0)),IF(ISERROR(VLOOKUP($A38,'liste reference'!$B$7:$D$904,1,0)),"",VLOOKUP($A38,'liste reference'!$B$7:$D$904,1,0)),VLOOKUP($A38,'liste reference'!$A$7:$D$904,2,0))</f>
        <v>Potamogeton pectinatus</v>
      </c>
      <c r="E38" s="496" t="e">
        <f aca="false">IF(D38="",0,VLOOKUP(D38,D$22:D37,1,0))</f>
        <v>#N/A</v>
      </c>
      <c r="F38" s="500" t="n">
        <f aca="false">($B38*$B$7+$C38*$C$7)/100</f>
        <v>0.05</v>
      </c>
      <c r="G38" s="479" t="str">
        <f aca="false">IF(A38="","",IF(ISERROR(VLOOKUP($A38,'liste reference'!$A$7:$P$904,13,0)),IF(ISERROR(VLOOKUP($A38,'liste reference'!$B$7:$P$904,12,0)),"    -",VLOOKUP($A38,'liste reference'!$B$7:$P$904,12,0)),VLOOKUP($A38,'liste reference'!$A$7:$P$904,13,0)))</f>
        <v>PHy</v>
      </c>
      <c r="H38" s="480" t="n">
        <f aca="false">IF(A38="","x",IF(ISERROR(VLOOKUP($A38,'liste reference'!$A$8:$P$904,14,0)),IF(ISERROR(VLOOKUP($A38,'liste reference'!$B$8:$P$904,13,0)),"x",VLOOKUP($A38,'liste reference'!$B$8:$P$904,13,0)),VLOOKUP($A38,'liste reference'!$A$8:$P$904,14,0)))</f>
        <v>7</v>
      </c>
      <c r="I38" s="481" t="n">
        <f aca="false">IF(ISNUMBER(H38),IF(ISERROR(VLOOKUP($A38,'liste reference'!$A$7:$P$904,3,0)),IF(ISERROR(VLOOKUP($A38,'liste reference'!$B$7:$P$904,2,0)),"",VLOOKUP($A38,'liste reference'!$B$7:$P$904,2,0)),VLOOKUP($A38,'liste reference'!$A$7:$P$904,3,0)),"")</f>
        <v>2</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Potamogeton pectinatus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1655</v>
      </c>
      <c r="Q38" s="486" t="n">
        <f aca="false">IF(ISTEXT(H38),"",(B38*$B$7/100)+(C38*$C$7/100))</f>
        <v>0.05</v>
      </c>
      <c r="R38" s="487" t="n">
        <f aca="false">IF(OR(ISTEXT(H38),Q38=0),"",IF(Q38&lt;0.1,1,IF(Q38&lt;1,2,IF(Q38&lt;10,3,IF(Q38&lt;50,4,IF(Q38&gt;=50,5,""))))))</f>
        <v>1</v>
      </c>
      <c r="S38" s="487" t="n">
        <f aca="false">IF(ISERROR(R38*I38),0,R38*I38)</f>
        <v>2</v>
      </c>
      <c r="T38" s="487" t="n">
        <f aca="false">IF(ISERROR(R38*I38*J38),0,R38*I38*J38)</f>
        <v>4</v>
      </c>
      <c r="U38" s="499" t="n">
        <f aca="false">IF(ISERROR(R38*J38),0,R38*J38)</f>
        <v>2</v>
      </c>
      <c r="V38" s="488" t="str">
        <f aca="false">IF(AND(A38="",F38=0),"",IF(F38=0,"Il manque le(s) % de rec. !",""))</f>
        <v/>
      </c>
      <c r="W38" s="489"/>
      <c r="Y38" s="490" t="str">
        <f aca="false">IF(A38="new.cod","NEWCOD",IF(AND((Z38=""),ISTEXT(A38)),A38,IF(Z38="","",INDEX('liste reference'!$A$8:$A$904,Z38))))</f>
        <v>POTPEC</v>
      </c>
      <c r="Z38" s="280" t="n">
        <f aca="false">IF(ISERROR(MATCH(A38,'liste reference'!$A$8:$A$904,0)),IF(ISERROR(MATCH(A38,'liste reference'!$B$8:$B$904,0)),"",(MATCH(A38,'liste reference'!$B$8:$B$904,0))),(MATCH(A38,'liste reference'!$A$8:$A$904,0)))</f>
        <v>421</v>
      </c>
      <c r="AA38" s="491"/>
      <c r="AB38" s="492"/>
      <c r="AC38" s="492"/>
      <c r="BB38" s="280" t="n">
        <f aca="false">IF(A38="","",1)</f>
        <v>1</v>
      </c>
    </row>
    <row r="39" customFormat="false" ht="12.75" hidden="false" customHeight="false" outlineLevel="0" collapsed="false">
      <c r="A39" s="493" t="s">
        <v>1641</v>
      </c>
      <c r="B39" s="494" t="n">
        <v>5</v>
      </c>
      <c r="C39" s="495"/>
      <c r="D39" s="477" t="str">
        <f aca="false">IF(ISERROR(VLOOKUP($A39,'liste reference'!$A$7:$D$904,2,0)),IF(ISERROR(VLOOKUP($A39,'liste reference'!$B$7:$D$904,1,0)),"",VLOOKUP($A39,'liste reference'!$B$7:$D$904,1,0)),VLOOKUP($A39,'liste reference'!$A$7:$D$904,2,0))</f>
        <v>Spirodela polyrhiza</v>
      </c>
      <c r="E39" s="496" t="e">
        <f aca="false">IF(D39="",0,VLOOKUP(D39,D$22:D38,1,0))</f>
        <v>#N/A</v>
      </c>
      <c r="F39" s="500" t="n">
        <f aca="false">($B39*$B$7+$C39*$C$7)/100</f>
        <v>5</v>
      </c>
      <c r="G39" s="479" t="str">
        <f aca="false">IF(A39="","",IF(ISERROR(VLOOKUP($A39,'liste reference'!$A$7:$P$904,13,0)),IF(ISERROR(VLOOKUP($A39,'liste reference'!$B$7:$P$904,12,0)),"    -",VLOOKUP($A39,'liste reference'!$B$7:$P$904,12,0)),VLOOKUP($A39,'liste reference'!$A$7:$P$904,13,0)))</f>
        <v>PHy</v>
      </c>
      <c r="H39" s="480" t="n">
        <f aca="false">IF(A39="","x",IF(ISERROR(VLOOKUP($A39,'liste reference'!$A$8:$P$904,14,0)),IF(ISERROR(VLOOKUP($A39,'liste reference'!$B$8:$P$904,13,0)),"x",VLOOKUP($A39,'liste reference'!$B$8:$P$904,13,0)),VLOOKUP($A39,'liste reference'!$A$8:$P$904,14,0)))</f>
        <v>7</v>
      </c>
      <c r="I39" s="481" t="n">
        <f aca="false">IF(ISNUMBER(H39),IF(ISERROR(VLOOKUP($A39,'liste reference'!$A$7:$P$904,3,0)),IF(ISERROR(VLOOKUP($A39,'liste reference'!$B$7:$P$904,2,0)),"",VLOOKUP($A39,'liste reference'!$B$7:$P$904,2,0)),VLOOKUP($A39,'liste reference'!$A$7:$P$904,3,0)),"")</f>
        <v>6</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Spirodela polyrhiza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1630</v>
      </c>
      <c r="Q39" s="486" t="n">
        <f aca="false">IF(ISTEXT(H39),"",(B39*$B$7/100)+(C39*$C$7/100))</f>
        <v>5</v>
      </c>
      <c r="R39" s="487" t="n">
        <f aca="false">IF(OR(ISTEXT(H39),Q39=0),"",IF(Q39&lt;0.1,1,IF(Q39&lt;1,2,IF(Q39&lt;10,3,IF(Q39&lt;50,4,IF(Q39&gt;=50,5,""))))))</f>
        <v>3</v>
      </c>
      <c r="S39" s="487" t="n">
        <f aca="false">IF(ISERROR(R39*I39),0,R39*I39)</f>
        <v>18</v>
      </c>
      <c r="T39" s="487" t="n">
        <f aca="false">IF(ISERROR(R39*I39*J39),0,R39*I39*J39)</f>
        <v>36</v>
      </c>
      <c r="U39" s="499" t="n">
        <f aca="false">IF(ISERROR(R39*J39),0,R39*J39)</f>
        <v>6</v>
      </c>
      <c r="V39" s="488" t="str">
        <f aca="false">IF(AND(A39="",F39=0),"",IF(F39=0,"Il manque le(s) % de rec. !",""))</f>
        <v/>
      </c>
      <c r="W39" s="489"/>
      <c r="Y39" s="490" t="str">
        <f aca="false">IF(A39="new.cod","NEWCOD",IF(AND((Z39=""),ISTEXT(A39)),A39,IF(Z39="","",INDEX('liste reference'!$A$8:$A$904,Z39))))</f>
        <v>SPRPOL</v>
      </c>
      <c r="Z39" s="280" t="n">
        <f aca="false">IF(ISERROR(MATCH(A39,'liste reference'!$A$8:$A$904,0)),IF(ISERROR(MATCH(A39,'liste reference'!$B$8:$B$904,0)),"",(MATCH(A39,'liste reference'!$B$8:$B$904,0))),(MATCH(A39,'liste reference'!$A$8:$A$904,0)))</f>
        <v>485</v>
      </c>
      <c r="AA39" s="491"/>
      <c r="AB39" s="492"/>
      <c r="AC39" s="492"/>
      <c r="BB39" s="280" t="n">
        <f aca="false">IF(A39="","",1)</f>
        <v>1</v>
      </c>
    </row>
    <row r="40" customFormat="false" ht="12.75" hidden="false" customHeight="false" outlineLevel="0" collapsed="false">
      <c r="A40" s="493" t="s">
        <v>1671</v>
      </c>
      <c r="B40" s="494" t="n">
        <v>3.66</v>
      </c>
      <c r="C40" s="495"/>
      <c r="D40" s="477" t="str">
        <f aca="false">IF(ISERROR(VLOOKUP($A40,'liste reference'!$A$7:$D$904,2,0)),IF(ISERROR(VLOOKUP($A40,'liste reference'!$B$7:$D$904,1,0)),"",VLOOKUP($A40,'liste reference'!$B$7:$D$904,1,0)),VLOOKUP($A40,'liste reference'!$A$7:$D$904,2,0))</f>
        <v>Vallisneria spiralis</v>
      </c>
      <c r="E40" s="496" t="e">
        <f aca="false">IF(D40="",0,VLOOKUP(D40,D$22:D32,1,0))</f>
        <v>#N/A</v>
      </c>
      <c r="F40" s="500" t="n">
        <f aca="false">($B40*$B$7+$C40*$C$7)/100</f>
        <v>3.66</v>
      </c>
      <c r="G40" s="479" t="str">
        <f aca="false">IF(A40="","",IF(ISERROR(VLOOKUP($A40,'liste reference'!$A$7:$P$904,13,0)),IF(ISERROR(VLOOKUP($A40,'liste reference'!$B$7:$P$904,12,0)),"    -",VLOOKUP($A40,'liste reference'!$B$7:$P$904,12,0)),VLOOKUP($A40,'liste reference'!$A$7:$P$904,13,0)))</f>
        <v>PHy</v>
      </c>
      <c r="H40" s="480" t="n">
        <f aca="false">IF(A40="","x",IF(ISERROR(VLOOKUP($A40,'liste reference'!$A$8:$P$904,14,0)),IF(ISERROR(VLOOKUP($A40,'liste reference'!$B$8:$P$904,13,0)),"x",VLOOKUP($A40,'liste reference'!$B$8:$P$904,13,0)),VLOOKUP($A40,'liste reference'!$A$8:$P$904,14,0)))</f>
        <v>7</v>
      </c>
      <c r="I40" s="481" t="n">
        <f aca="false">IF(ISNUMBER(H40),IF(ISERROR(VLOOKUP($A40,'liste reference'!$A$7:$P$904,3,0)),IF(ISERROR(VLOOKUP($A40,'liste reference'!$B$7:$P$904,2,0)),"",VLOOKUP($A40,'liste reference'!$B$7:$P$904,2,0)),VLOOKUP($A40,'liste reference'!$A$7:$P$904,3,0)),"")</f>
        <v>8</v>
      </c>
      <c r="J40" s="481" t="n">
        <f aca="false">IF(ISNUMBER(H40),IF(ISERROR(VLOOKUP($A40,'liste reference'!$A$7:$P$904,4,0)),IF(ISERROR(VLOOKUP($A40,'liste reference'!$B$7:$P$904,3,0)),"",VLOOKUP($A40,'liste reference'!$B$7:$P$904,3,0)),VLOOKUP($A40,'liste reference'!$A$7:$P$904,4,0)),"")</f>
        <v>2</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Vallisneria spiralis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1598</v>
      </c>
      <c r="Q40" s="486" t="n">
        <f aca="false">IF(ISTEXT(H40),"",(B40*$B$7/100)+(C40*$C$7/100))</f>
        <v>3.66</v>
      </c>
      <c r="R40" s="487" t="n">
        <f aca="false">IF(OR(ISTEXT(H40),Q40=0),"",IF(Q40&lt;0.1,1,IF(Q40&lt;1,2,IF(Q40&lt;10,3,IF(Q40&lt;50,4,IF(Q40&gt;=50,5,""))))))</f>
        <v>3</v>
      </c>
      <c r="S40" s="487" t="n">
        <f aca="false">IF(ISERROR(R40*I40),0,R40*I40)</f>
        <v>24</v>
      </c>
      <c r="T40" s="487" t="n">
        <f aca="false">IF(ISERROR(R40*I40*J40),0,R40*I40*J40)</f>
        <v>48</v>
      </c>
      <c r="U40" s="499" t="n">
        <f aca="false">IF(ISERROR(R40*J40),0,R40*J40)</f>
        <v>6</v>
      </c>
      <c r="V40" s="488" t="str">
        <f aca="false">IF(AND(A40="",F40=0),"",IF(F40=0,"Il manque le(s) % de rec. !",""))</f>
        <v/>
      </c>
      <c r="W40" s="489"/>
      <c r="Y40" s="490" t="str">
        <f aca="false">IF(A40="new.cod","NEWCOD",IF(AND((Z40=""),ISTEXT(A40)),A40,IF(Z40="","",INDEX('liste reference'!$A$8:$A$904,Z40))))</f>
        <v>VALSPI</v>
      </c>
      <c r="Z40" s="280" t="n">
        <f aca="false">IF(ISERROR(MATCH(A40,'liste reference'!$A$8:$A$904,0)),IF(ISERROR(MATCH(A40,'liste reference'!$B$8:$B$904,0)),"",(MATCH(A40,'liste reference'!$B$8:$B$904,0))),(MATCH(A40,'liste reference'!$A$8:$A$904,0)))</f>
        <v>498</v>
      </c>
      <c r="AA40" s="491"/>
      <c r="AB40" s="492"/>
      <c r="AC40" s="492"/>
      <c r="BB40" s="280" t="n">
        <f aca="false">IF(A40="","",1)</f>
        <v>1</v>
      </c>
    </row>
    <row r="41" customFormat="false" ht="12.75" hidden="false" customHeight="false" outlineLevel="0" collapsed="false">
      <c r="A41" s="493" t="s">
        <v>1708</v>
      </c>
      <c r="B41" s="494" t="n">
        <v>0.005</v>
      </c>
      <c r="C41" s="495"/>
      <c r="D41" s="477" t="str">
        <f aca="false">IF(ISERROR(VLOOKUP($A41,'liste reference'!$A$7:$D$904,2,0)),IF(ISERROR(VLOOKUP($A41,'liste reference'!$B$7:$D$904,1,0)),"",VLOOKUP($A41,'liste reference'!$B$7:$D$904,1,0)),VLOOKUP($A41,'liste reference'!$A$7:$D$904,2,0))</f>
        <v>Agrostis stolonifera</v>
      </c>
      <c r="E41" s="496" t="e">
        <f aca="false">IF(D41="",0,VLOOKUP(D41,D$22:D40,1,0))</f>
        <v>#N/A</v>
      </c>
      <c r="F41" s="500" t="n">
        <f aca="false">($B41*$B$7+$C41*$C$7)/100</f>
        <v>0.005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10</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Agrostis stolonifera</v>
      </c>
      <c r="L41" s="498"/>
      <c r="M41" s="498"/>
      <c r="N41" s="498"/>
      <c r="O41" s="484" t="s">
        <v>2684</v>
      </c>
      <c r="P41" s="485" t="n">
        <f aca="false">IF($A41="NEWCOD",IF($AC41="","No",$AC41),IF(ISTEXT($E41),"DEJA SAISI !",IF($A41="","",IF(ISERROR(VLOOKUP($A41,'liste reference'!A:S,19,FALSE())),IF(ISERROR(VLOOKUP($A41,'liste reference'!B:S,19,FALSE())),"",VLOOKUP($A41,'liste reference'!B:S,19,FALSE())),VLOOKUP($A41,'liste reference'!A:S,19,FALSE())))))</f>
        <v>1543</v>
      </c>
      <c r="Q41" s="486" t="n">
        <f aca="false">IF(ISTEXT(H41),"",(B41*$B$7/100)+(C41*$C$7/100))</f>
        <v>0.005</v>
      </c>
      <c r="R41" s="487" t="n">
        <f aca="false">IF(OR(ISTEXT(H41),Q41=0),"",IF(Q41&lt;0.1,1,IF(Q41&lt;1,2,IF(Q41&lt;10,3,IF(Q41&lt;50,4,IF(Q41&gt;=50,5,""))))))</f>
        <v>1</v>
      </c>
      <c r="S41" s="487" t="n">
        <f aca="false">IF(ISERROR(R41*I41),0,R41*I41)</f>
        <v>10</v>
      </c>
      <c r="T41" s="487" t="n">
        <f aca="false">IF(ISERROR(R41*I41*J41),0,R41*I41*J41)</f>
        <v>10</v>
      </c>
      <c r="U41" s="499" t="n">
        <f aca="false">IF(ISERROR(R41*J41),0,R41*J41)</f>
        <v>1</v>
      </c>
      <c r="V41" s="488" t="str">
        <f aca="false">IF(AND(A41="",F41=0),"",IF(F41=0,"Il manque le(s) % de rec. !",""))</f>
        <v/>
      </c>
      <c r="W41" s="489"/>
      <c r="X41" s="489"/>
      <c r="Y41" s="490" t="str">
        <f aca="false">IF(A41="new.cod","NEWCOD",IF(AND((Z41=""),ISTEXT(A41)),A41,IF(Z41="","",INDEX('liste reference'!$A$8:$A$904,Z41))))</f>
        <v>AGRSTO</v>
      </c>
      <c r="Z41" s="280" t="n">
        <f aca="false">IF(ISERROR(MATCH(A41,'liste reference'!$A$8:$A$904,0)),IF(ISERROR(MATCH(A41,'liste reference'!$B$8:$B$904,0)),"",(MATCH(A41,'liste reference'!$B$8:$B$904,0))),(MATCH(A41,'liste reference'!$A$8:$A$904,0)))</f>
        <v>514</v>
      </c>
      <c r="AA41" s="491" t="s">
        <v>2684</v>
      </c>
      <c r="AB41" s="492"/>
      <c r="AC41" s="492"/>
      <c r="BB41" s="280" t="n">
        <f aca="false">IF(A41="","",1)</f>
        <v>1</v>
      </c>
    </row>
    <row r="42" customFormat="false" ht="12.75" hidden="false" customHeight="false" outlineLevel="0" collapsed="false">
      <c r="A42" s="493" t="s">
        <v>1785</v>
      </c>
      <c r="B42" s="494" t="n">
        <v>0.005</v>
      </c>
      <c r="C42" s="495"/>
      <c r="D42" s="477" t="str">
        <f aca="false">IF(ISERROR(VLOOKUP($A42,'liste reference'!$A$7:$D$904,2,0)),IF(ISERROR(VLOOKUP($A42,'liste reference'!$B$7:$D$904,1,0)),"",VLOOKUP($A42,'liste reference'!$B$7:$D$904,1,0)),VLOOKUP($A42,'liste reference'!$A$7:$D$904,2,0))</f>
        <v>Carex pseudocyperus</v>
      </c>
      <c r="E42" s="496" t="e">
        <f aca="false">IF(D42="",0,VLOOKUP(D42,D$22:D41,1,0))</f>
        <v>#N/A</v>
      </c>
      <c r="F42" s="500" t="n">
        <f aca="false">($B42*$B$7+$C42*$C$7)/100</f>
        <v>0.005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Carex pseudocyperus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1486</v>
      </c>
      <c r="Q42" s="486" t="n">
        <f aca="false">IF(ISTEXT(H42),"",(B42*$B$7/100)+(C42*$C$7/100))</f>
        <v>0.005</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CARPSE</v>
      </c>
      <c r="Z42" s="280" t="n">
        <f aca="false">IF(ISERROR(MATCH(A42,'liste reference'!$A$8:$A$904,0)),IF(ISERROR(MATCH(A42,'liste reference'!$B$8:$B$904,0)),"",(MATCH(A42,'liste reference'!$B$8:$B$904,0))),(MATCH(A42,'liste reference'!$A$8:$A$904,0)))</f>
        <v>542</v>
      </c>
      <c r="AA42" s="491"/>
      <c r="AB42" s="492"/>
      <c r="AC42" s="492"/>
      <c r="BB42" s="280" t="n">
        <f aca="false">IF(A42="","",1)</f>
        <v>1</v>
      </c>
    </row>
    <row r="43" customFormat="false" ht="12.75" hidden="false" customHeight="false" outlineLevel="0" collapsed="false">
      <c r="A43" s="493" t="s">
        <v>1882</v>
      </c>
      <c r="B43" s="494" t="n">
        <v>0.01</v>
      </c>
      <c r="C43" s="495"/>
      <c r="D43" s="477" t="str">
        <f aca="false">IF(ISERROR(VLOOKUP($A43,'liste reference'!$A$7:$D$904,2,0)),IF(ISERROR(VLOOKUP($A43,'liste reference'!$B$7:$D$904,1,0)),"",VLOOKUP($A43,'liste reference'!$B$7:$D$904,1,0)),VLOOKUP($A43,'liste reference'!$A$7:$D$904,2,0))</f>
        <v>Iris pseudacorus</v>
      </c>
      <c r="E43" s="496" t="e">
        <f aca="false">IF(D43="",0,VLOOKUP(D43,D$22:D42,1,0))</f>
        <v>#N/A</v>
      </c>
      <c r="F43" s="500" t="n">
        <f aca="false">($B43*$B$7+$C43*$C$7)/100</f>
        <v>0.01</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10</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Iris pseudacorus</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1601</v>
      </c>
      <c r="Q43" s="486" t="n">
        <f aca="false">IF(ISTEXT(H43),"",(B43*$B$7/100)+(C43*$C$7/100))</f>
        <v>0.01</v>
      </c>
      <c r="R43" s="487" t="n">
        <f aca="false">IF(OR(ISTEXT(H43),Q43=0),"",IF(Q43&lt;0.1,1,IF(Q43&lt;1,2,IF(Q43&lt;10,3,IF(Q43&lt;50,4,IF(Q43&gt;=50,5,""))))))</f>
        <v>1</v>
      </c>
      <c r="S43" s="487" t="n">
        <f aca="false">IF(ISERROR(R43*I43),0,R43*I43)</f>
        <v>10</v>
      </c>
      <c r="T43" s="487" t="n">
        <f aca="false">IF(ISERROR(R43*I43*J43),0,R43*I43*J43)</f>
        <v>10</v>
      </c>
      <c r="U43" s="499" t="n">
        <f aca="false">IF(ISERROR(R43*J43),0,R43*J43)</f>
        <v>1</v>
      </c>
      <c r="V43" s="488" t="str">
        <f aca="false">IF(AND(A43="",F43=0),"",IF(F43=0,"Il manque le(s) % de rec. !",""))</f>
        <v/>
      </c>
      <c r="W43" s="489"/>
      <c r="Y43" s="490" t="str">
        <f aca="false">IF(A43="new.cod","NEWCOD",IF(AND((Z43=""),ISTEXT(A43)),A43,IF(Z43="","",INDEX('liste reference'!$A$8:$A$904,Z43))))</f>
        <v>IRIPSE</v>
      </c>
      <c r="Z43" s="280" t="n">
        <f aca="false">IF(ISERROR(MATCH(A43,'liste reference'!$A$8:$A$904,0)),IF(ISERROR(MATCH(A43,'liste reference'!$B$8:$B$904,0)),"",(MATCH(A43,'liste reference'!$B$8:$B$904,0))),(MATCH(A43,'liste reference'!$A$8:$A$904,0)))</f>
        <v>582</v>
      </c>
      <c r="AA43" s="491"/>
      <c r="AB43" s="492"/>
      <c r="AC43" s="492"/>
      <c r="BB43" s="280" t="n">
        <f aca="false">IF(A43="","",1)</f>
        <v>1</v>
      </c>
    </row>
    <row r="44" customFormat="false" ht="12.75" hidden="false" customHeight="false" outlineLevel="0" collapsed="false">
      <c r="A44" s="493" t="s">
        <v>1908</v>
      </c>
      <c r="B44" s="494" t="n">
        <v>4.03</v>
      </c>
      <c r="C44" s="495"/>
      <c r="D44" s="477" t="str">
        <f aca="false">IF(ISERROR(VLOOKUP($A44,'liste reference'!$A$7:$D$904,2,0)),IF(ISERROR(VLOOKUP($A44,'liste reference'!$B$7:$D$904,1,0)),"",VLOOKUP($A44,'liste reference'!$B$7:$D$904,1,0)),VLOOKUP($A44,'liste reference'!$A$7:$D$904,2,0))</f>
        <v>Ludwigia peploides</v>
      </c>
      <c r="E44" s="496" t="e">
        <f aca="false">IF(D44="",0,VLOOKUP(D44,D$22:D43,1,0))</f>
        <v>#N/A</v>
      </c>
      <c r="F44" s="500" t="n">
        <f aca="false">($B44*$B$7+$C44*$C$7)/100</f>
        <v>4.03</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Ludwigia peploides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1856</v>
      </c>
      <c r="Q44" s="486" t="n">
        <f aca="false">IF(ISTEXT(H44),"",(B44*$B$7/100)+(C44*$C$7/100))</f>
        <v>4.03</v>
      </c>
      <c r="R44" s="487" t="n">
        <f aca="false">IF(OR(ISTEXT(H44),Q44=0),"",IF(Q44&lt;0.1,1,IF(Q44&lt;1,2,IF(Q44&lt;10,3,IF(Q44&lt;50,4,IF(Q44&gt;=50,5,""))))))</f>
        <v>3</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LUDPEP</v>
      </c>
      <c r="Z44" s="280" t="n">
        <f aca="false">IF(ISERROR(MATCH(A44,'liste reference'!$A$8:$A$904,0)),IF(ISERROR(MATCH(A44,'liste reference'!$B$8:$B$904,0)),"",(MATCH(A44,'liste reference'!$B$8:$B$904,0))),(MATCH(A44,'liste reference'!$A$8:$A$904,0)))</f>
        <v>594</v>
      </c>
      <c r="AA44" s="491"/>
      <c r="AB44" s="492"/>
      <c r="AC44" s="492"/>
      <c r="BB44" s="280" t="n">
        <f aca="false">IF(A44="","",1)</f>
        <v>1</v>
      </c>
    </row>
    <row r="45" customFormat="false" ht="12.75" hidden="false" customHeight="false" outlineLevel="0" collapsed="false">
      <c r="A45" s="493" t="s">
        <v>1913</v>
      </c>
      <c r="B45" s="494" t="n">
        <v>0.005</v>
      </c>
      <c r="C45" s="495"/>
      <c r="D45" s="477" t="str">
        <f aca="false">IF(ISERROR(VLOOKUP($A45,'liste reference'!$A$7:$D$904,2,0)),IF(ISERROR(VLOOKUP($A45,'liste reference'!$B$7:$D$904,1,0)),"",VLOOKUP($A45,'liste reference'!$B$7:$D$904,1,0)),VLOOKUP($A45,'liste reference'!$A$7:$D$904,2,0))</f>
        <v>Lycopus europaeus</v>
      </c>
      <c r="E45" s="496" t="e">
        <f aca="false">IF(D45="",0,VLOOKUP(D45,D$22:D44,1,0))</f>
        <v>#N/A</v>
      </c>
      <c r="F45" s="500" t="n">
        <f aca="false">($B45*$B$7+$C45*$C$7)/100</f>
        <v>0.005</v>
      </c>
      <c r="G45" s="479" t="str">
        <f aca="false">IF(A45="","",IF(ISERROR(VLOOKUP($A45,'liste reference'!$A$7:$P$904,13,0)),IF(ISERROR(VLOOKUP($A45,'liste reference'!$B$7:$P$904,12,0)),"    -",VLOOKUP($A45,'liste reference'!$B$7:$P$904,12,0)),VLOOKUP($A45,'liste reference'!$A$7:$P$904,13,0)))</f>
        <v>PHe</v>
      </c>
      <c r="H45" s="480" t="n">
        <f aca="false">IF(A45="","x",IF(ISERROR(VLOOKUP($A45,'liste reference'!$A$8:$P$904,14,0)),IF(ISERROR(VLOOKUP($A45,'liste reference'!$B$8:$P$904,13,0)),"x",VLOOKUP($A45,'liste reference'!$B$8:$P$904,13,0)),VLOOKUP($A45,'liste reference'!$A$8:$P$904,14,0)))</f>
        <v>8</v>
      </c>
      <c r="I45" s="481" t="n">
        <f aca="false">IF(ISNUMBER(H45),IF(ISERROR(VLOOKUP($A45,'liste reference'!$A$7:$P$904,3,0)),IF(ISERROR(VLOOKUP($A45,'liste reference'!$B$7:$P$904,2,0)),"",VLOOKUP($A45,'liste reference'!$B$7:$P$904,2,0)),VLOOKUP($A45,'liste reference'!$A$7:$P$904,3,0)),"")</f>
        <v>11</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Lycopus europaeus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1789</v>
      </c>
      <c r="Q45" s="486" t="n">
        <f aca="false">IF(ISTEXT(H45),"",(B45*$B$7/100)+(C45*$C$7/100))</f>
        <v>0.005</v>
      </c>
      <c r="R45" s="487" t="n">
        <f aca="false">IF(OR(ISTEXT(H45),Q45=0),"",IF(Q45&lt;0.1,1,IF(Q45&lt;1,2,IF(Q45&lt;10,3,IF(Q45&lt;50,4,IF(Q45&gt;=50,5,""))))))</f>
        <v>1</v>
      </c>
      <c r="S45" s="487" t="n">
        <f aca="false">IF(ISERROR(R45*I45),0,R45*I45)</f>
        <v>11</v>
      </c>
      <c r="T45" s="487" t="n">
        <f aca="false">IF(ISERROR(R45*I45*J45),0,R45*I45*J45)</f>
        <v>11</v>
      </c>
      <c r="U45" s="499" t="n">
        <f aca="false">IF(ISERROR(R45*J45),0,R45*J45)</f>
        <v>1</v>
      </c>
      <c r="V45" s="488" t="str">
        <f aca="false">IF(AND(A45="",F45=0),"",IF(F45=0,"Il manque le(s) % de rec. !",""))</f>
        <v/>
      </c>
      <c r="W45" s="489"/>
      <c r="Y45" s="490" t="str">
        <f aca="false">IF(A45="new.cod","NEWCOD",IF(AND((Z45=""),ISTEXT(A45)),A45,IF(Z45="","",INDEX('liste reference'!$A$8:$A$904,Z45))))</f>
        <v>LYCEUR</v>
      </c>
      <c r="Z45" s="280" t="n">
        <f aca="false">IF(ISERROR(MATCH(A45,'liste reference'!$A$8:$A$904,0)),IF(ISERROR(MATCH(A45,'liste reference'!$B$8:$B$904,0)),"",(MATCH(A45,'liste reference'!$B$8:$B$904,0))),(MATCH(A45,'liste reference'!$A$8:$A$904,0)))</f>
        <v>596</v>
      </c>
      <c r="AA45" s="491"/>
      <c r="AB45" s="492"/>
      <c r="AC45" s="492"/>
      <c r="BB45" s="280" t="n">
        <f aca="false">IF(A45="","",1)</f>
        <v>1</v>
      </c>
    </row>
    <row r="46" customFormat="false" ht="12.75" hidden="false" customHeight="false" outlineLevel="0" collapsed="false">
      <c r="A46" s="493" t="s">
        <v>1923</v>
      </c>
      <c r="B46" s="494" t="n">
        <v>0.005</v>
      </c>
      <c r="C46" s="495"/>
      <c r="D46" s="477" t="str">
        <f aca="false">IF(ISERROR(VLOOKUP($A46,'liste reference'!$A$7:$D$904,2,0)),IF(ISERROR(VLOOKUP($A46,'liste reference'!$B$7:$D$904,1,0)),"",VLOOKUP($A46,'liste reference'!$B$7:$D$904,1,0)),VLOOKUP($A46,'liste reference'!$A$7:$D$904,2,0))</f>
        <v>Lysimachia vulgaris</v>
      </c>
      <c r="E46" s="496" t="e">
        <f aca="false">IF(D46="",0,VLOOKUP(D46,D$22:D45,1,0))</f>
        <v>#N/A</v>
      </c>
      <c r="F46" s="500" t="n">
        <f aca="false">($B46*$B$7+$C46*$C$7)/100</f>
        <v>0.005</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Lysimachia vulgaris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1887</v>
      </c>
      <c r="Q46" s="486" t="n">
        <f aca="false">IF(ISTEXT(H46),"",(B46*$B$7/100)+(C46*$C$7/100))</f>
        <v>0.005</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LYSVUL</v>
      </c>
      <c r="Z46" s="280" t="n">
        <f aca="false">IF(ISERROR(MATCH(A46,'liste reference'!$A$8:$A$904,0)),IF(ISERROR(MATCH(A46,'liste reference'!$B$8:$B$904,0)),"",(MATCH(A46,'liste reference'!$B$8:$B$904,0))),(MATCH(A46,'liste reference'!$A$8:$A$904,0)))</f>
        <v>601</v>
      </c>
      <c r="AA46" s="491"/>
      <c r="AB46" s="492"/>
      <c r="AC46" s="492"/>
      <c r="BB46" s="280" t="n">
        <f aca="false">IF(A46="","",1)</f>
        <v>1</v>
      </c>
    </row>
    <row r="47" customFormat="false" ht="12.75" hidden="false" customHeight="false" outlineLevel="0" collapsed="false">
      <c r="A47" s="493" t="s">
        <v>1984</v>
      </c>
      <c r="B47" s="494" t="n">
        <v>0.005</v>
      </c>
      <c r="C47" s="495"/>
      <c r="D47" s="477" t="str">
        <f aca="false">IF(ISERROR(VLOOKUP($A47,'liste reference'!$A$7:$D$904,2,0)),IF(ISERROR(VLOOKUP($A47,'liste reference'!$B$7:$D$904,1,0)),"",VLOOKUP($A47,'liste reference'!$B$7:$D$904,1,0)),VLOOKUP($A47,'liste reference'!$A$7:$D$904,2,0))</f>
        <v>Nasturtium officinale</v>
      </c>
      <c r="E47" s="496" t="e">
        <f aca="false">IF(D47="",0,VLOOKUP(D47,D$22:D46,1,0))</f>
        <v>#N/A</v>
      </c>
      <c r="F47" s="500" t="n">
        <f aca="false">($B47*$B$7+$C47*$C$7)/100</f>
        <v>0.005</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11</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Nasturtium officinale</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1763</v>
      </c>
      <c r="Q47" s="486" t="n">
        <f aca="false">IF(ISTEXT(H47),"",(B47*$B$7/100)+(C47*$C$7/100))</f>
        <v>0.005</v>
      </c>
      <c r="R47" s="487" t="n">
        <f aca="false">IF(OR(ISTEXT(H47),Q47=0),"",IF(Q47&lt;0.1,1,IF(Q47&lt;1,2,IF(Q47&lt;10,3,IF(Q47&lt;50,4,IF(Q47&gt;=50,5,""))))))</f>
        <v>1</v>
      </c>
      <c r="S47" s="487" t="n">
        <f aca="false">IF(ISERROR(R47*I47),0,R47*I47)</f>
        <v>11</v>
      </c>
      <c r="T47" s="487" t="n">
        <f aca="false">IF(ISERROR(R47*I47*J47),0,R47*I47*J47)</f>
        <v>11</v>
      </c>
      <c r="U47" s="499" t="n">
        <f aca="false">IF(ISERROR(R47*J47),0,R47*J47)</f>
        <v>1</v>
      </c>
      <c r="V47" s="488" t="str">
        <f aca="false">IF(AND(A47="",F47=0),"",IF(F47=0,"Il manque le(s) % de rec. !",""))</f>
        <v/>
      </c>
      <c r="W47" s="501"/>
      <c r="Y47" s="490" t="str">
        <f aca="false">IF(A47="new.cod","NEWCOD",IF(AND((Z47=""),ISTEXT(A47)),A47,IF(Z47="","",INDEX('liste reference'!$A$8:$A$904,Z47))))</f>
        <v>NASOFF</v>
      </c>
      <c r="Z47" s="280" t="n">
        <f aca="false">IF(ISERROR(MATCH(A47,'liste reference'!$A$8:$A$904,0)),IF(ISERROR(MATCH(A47,'liste reference'!$B$8:$B$904,0)),"",(MATCH(A47,'liste reference'!$B$8:$B$904,0))),(MATCH(A47,'liste reference'!$A$8:$A$904,0)))</f>
        <v>628</v>
      </c>
      <c r="AA47" s="491"/>
      <c r="AB47" s="492"/>
      <c r="AC47" s="492"/>
      <c r="BB47" s="280" t="n">
        <f aca="false">IF(A47="","",1)</f>
        <v>1</v>
      </c>
    </row>
    <row r="48" customFormat="false" ht="12.75" hidden="false" customHeight="false" outlineLevel="0" collapsed="false">
      <c r="A48" s="493" t="s">
        <v>2002</v>
      </c>
      <c r="B48" s="494" t="n">
        <v>0.005</v>
      </c>
      <c r="C48" s="495"/>
      <c r="D48" s="477" t="str">
        <f aca="false">IF(ISERROR(VLOOKUP($A48,'liste reference'!$A$7:$D$904,2,0)),IF(ISERROR(VLOOKUP($A48,'liste reference'!$B$7:$D$904,1,0)),"",VLOOKUP($A48,'liste reference'!$B$7:$D$904,1,0)),VLOOKUP($A48,'liste reference'!$A$7:$D$904,2,0))</f>
        <v>Phragmites australis</v>
      </c>
      <c r="E48" s="496" t="e">
        <f aca="false">IF(D48="",0,VLOOKUP(D48,D$22:D47,1,0))</f>
        <v>#N/A</v>
      </c>
      <c r="F48" s="500" t="n">
        <f aca="false">($B48*$B$7+$C48*$C$7)/100</f>
        <v>0.005</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9</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Phragmites australis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1579</v>
      </c>
      <c r="Q48" s="486" t="n">
        <f aca="false">IF(ISTEXT(H48),"",(B48*$B$7/100)+(C48*$C$7/100))</f>
        <v>0.005</v>
      </c>
      <c r="R48" s="487" t="n">
        <f aca="false">IF(OR(ISTEXT(H48),Q48=0),"",IF(Q48&lt;0.1,1,IF(Q48&lt;1,2,IF(Q48&lt;10,3,IF(Q48&lt;50,4,IF(Q48&gt;=50,5,""))))))</f>
        <v>1</v>
      </c>
      <c r="S48" s="487" t="n">
        <f aca="false">IF(ISERROR(R48*I48),0,R48*I48)</f>
        <v>9</v>
      </c>
      <c r="T48" s="487" t="n">
        <f aca="false">IF(ISERROR(R48*I48*J48),0,R48*I48*J48)</f>
        <v>18</v>
      </c>
      <c r="U48" s="499" t="n">
        <f aca="false">IF(ISERROR(R48*J48),0,R48*J48)</f>
        <v>2</v>
      </c>
      <c r="V48" s="488" t="str">
        <f aca="false">IF(AND(A48="",F48=0),"",IF(F48=0,"Il manque le(s) % de rec. !",""))</f>
        <v/>
      </c>
      <c r="W48" s="489"/>
      <c r="Y48" s="490" t="str">
        <f aca="false">IF(A48="new.cod","NEWCOD",IF(AND((Z48=""),ISTEXT(A48)),A48,IF(Z48="","",INDEX('liste reference'!$A$8:$A$904,Z48))))</f>
        <v>PHRAUS</v>
      </c>
      <c r="Z48" s="280" t="n">
        <f aca="false">IF(ISERROR(MATCH(A48,'liste reference'!$A$8:$A$904,0)),IF(ISERROR(MATCH(A48,'liste reference'!$B$8:$B$904,0)),"",(MATCH(A48,'liste reference'!$B$8:$B$904,0))),(MATCH(A48,'liste reference'!$A$8:$A$904,0)))</f>
        <v>635</v>
      </c>
      <c r="AA48" s="491"/>
      <c r="AB48" s="492"/>
      <c r="AC48" s="492"/>
      <c r="BB48" s="280" t="n">
        <f aca="false">IF(A48="","",1)</f>
        <v>1</v>
      </c>
    </row>
    <row r="49" customFormat="false" ht="12.75" hidden="false" customHeight="false" outlineLevel="0" collapsed="false">
      <c r="A49" s="493" t="s">
        <v>2685</v>
      </c>
      <c r="B49" s="494" t="n">
        <v>0.005</v>
      </c>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0.005</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Bidens connata</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2686</v>
      </c>
      <c r="AC49" s="492"/>
      <c r="BB49" s="280" t="n">
        <f aca="false">IF(A49="","",1)</f>
        <v>1</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Bras des Armeniers</v>
      </c>
      <c r="B84" s="529" t="str">
        <f aca="false">C3</f>
        <v>Sorgues</v>
      </c>
      <c r="C84" s="530" t="n">
        <f aca="false">A4</f>
        <v>41878</v>
      </c>
      <c r="D84" s="531" t="n">
        <f aca="false">IF(ISERROR(SUM($T$23:$T$82)/SUM($U$23:$U$82)),"",SUM($T$23:$T$82)/SUM($U$23:$U$82))</f>
        <v>7.078125</v>
      </c>
      <c r="E84" s="532" t="n">
        <f aca="false">N13</f>
        <v>27</v>
      </c>
      <c r="F84" s="529" t="n">
        <f aca="false">N14</f>
        <v>26</v>
      </c>
      <c r="G84" s="529" t="n">
        <f aca="false">N15</f>
        <v>8</v>
      </c>
      <c r="H84" s="529" t="n">
        <f aca="false">N16</f>
        <v>10</v>
      </c>
      <c r="I84" s="529" t="n">
        <f aca="false">N17</f>
        <v>3</v>
      </c>
      <c r="J84" s="533" t="n">
        <f aca="false">N8</f>
        <v>6.42307692307692</v>
      </c>
      <c r="K84" s="531" t="n">
        <f aca="false">N9</f>
        <v>3.92401949461045</v>
      </c>
      <c r="L84" s="532" t="n">
        <f aca="false">N10</f>
        <v>0</v>
      </c>
      <c r="M84" s="532" t="n">
        <f aca="false">N11</f>
        <v>13</v>
      </c>
      <c r="N84" s="531" t="n">
        <f aca="false">O8</f>
        <v>1.42307692307692</v>
      </c>
      <c r="O84" s="531" t="n">
        <f aca="false">O9</f>
        <v>0.927074676399535</v>
      </c>
      <c r="P84" s="532" t="n">
        <f aca="false">O10</f>
        <v>0</v>
      </c>
      <c r="Q84" s="532" t="n">
        <f aca="false">O11</f>
        <v>3</v>
      </c>
      <c r="R84" s="532" t="n">
        <f aca="false">F21</f>
        <v>53.445</v>
      </c>
      <c r="S84" s="532" t="n">
        <f aca="false">K11</f>
        <v>0</v>
      </c>
      <c r="T84" s="532" t="n">
        <f aca="false">K12</f>
        <v>4</v>
      </c>
      <c r="U84" s="532" t="n">
        <f aca="false">K13</f>
        <v>2</v>
      </c>
      <c r="V84" s="534" t="n">
        <f aca="false">K14</f>
        <v>1</v>
      </c>
      <c r="W84" s="535" t="n">
        <f aca="false">K15</f>
        <v>19</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30</v>
      </c>
      <c r="T87" s="280"/>
      <c r="U87" s="280"/>
      <c r="V87" s="280"/>
    </row>
    <row r="88" customFormat="false" ht="12.75" hidden="true" customHeight="false" outlineLevel="0" collapsed="false">
      <c r="P88" s="280"/>
      <c r="Q88" s="280" t="s">
        <v>2690</v>
      </c>
      <c r="R88" s="280"/>
      <c r="S88" s="488" t="n">
        <f aca="false">VLOOKUP((S87),($S$23:$U$82),2,0)</f>
        <v>30</v>
      </c>
      <c r="T88" s="280"/>
      <c r="U88" s="280"/>
      <c r="V88" s="280"/>
    </row>
    <row r="89" customFormat="false" ht="12.75" hidden="true" customHeight="false" outlineLevel="0" collapsed="false">
      <c r="Q89" s="280" t="s">
        <v>2691</v>
      </c>
      <c r="R89" s="280"/>
      <c r="S89" s="488" t="n">
        <f aca="false">VLOOKUP((S87),($S$23:$U$82),3,0)</f>
        <v>3</v>
      </c>
      <c r="T89" s="280"/>
    </row>
    <row r="90" customFormat="false" ht="12.75" hidden="false" customHeight="false" outlineLevel="0" collapsed="false">
      <c r="Q90" s="280" t="s">
        <v>2692</v>
      </c>
      <c r="R90" s="280"/>
      <c r="S90" s="538" t="n">
        <f aca="false">IF(ISERROR(SUM($T$23:$T$82)/SUM($U$23:$U$82)),"",(SUM($T$23:$T$82)-S88)/(SUM($U$23:$U$82)-S89))</f>
        <v>6.9344262295082</v>
      </c>
      <c r="T90" s="280"/>
    </row>
    <row r="91" customFormat="false" ht="12.75" hidden="false" customHeight="false" outlineLevel="0" collapsed="false">
      <c r="Q91" s="487" t="s">
        <v>2693</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2694</v>
      </c>
      <c r="R92" s="280"/>
      <c r="S92" s="280" t="n">
        <f aca="false">MATCH(S87,$S$23:$S$82,0)</f>
        <v>4</v>
      </c>
      <c r="T92" s="280"/>
    </row>
    <row r="93" customFormat="false" ht="12.75" hidden="false" customHeight="false" outlineLevel="0" collapsed="false">
      <c r="Q93" s="487" t="s">
        <v>2695</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2711</v>
      </c>
      <c r="G18" s="577"/>
      <c r="H18" s="576" t="s">
        <v>2711</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2624</v>
      </c>
      <c r="G21" s="577"/>
      <c r="H21" s="576" t="s">
        <v>2624</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2715</v>
      </c>
      <c r="G23" s="577"/>
      <c r="H23" s="576" t="s">
        <v>2715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2681</v>
      </c>
    </row>
    <row r="29" customFormat="false" ht="15" hidden="false" customHeight="false" outlineLevel="0" collapsed="false">
      <c r="A29" s="565" t="s">
        <v>1219</v>
      </c>
      <c r="B29" s="566" t="s">
        <v>1220</v>
      </c>
      <c r="C29" s="568"/>
      <c r="D29" s="569"/>
      <c r="F29" s="583" t="s">
        <v>2684</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2637</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2015-02-06T15:24:39Z</dcterms:modified>
  <cp:revision>0</cp:revision>
  <dc:subject/>
  <dc:title>Feuille d'aide au calcul de l'IBMR</dc:title>
</cp:coreProperties>
</file>