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<sst xmlns="http://schemas.openxmlformats.org/spreadsheetml/2006/main" count="158" uniqueCount="94">
  <si>
    <t xml:space="preserve">Relevés floristiques aquatiques - IBMR</t>
  </si>
  <si>
    <t xml:space="preserve">modèle Irstea-GIS</t>
  </si>
  <si>
    <t xml:space="preserve">SAGE</t>
  </si>
  <si>
    <t xml:space="preserve">L.BOURGOIN M. SCHNEIDER</t>
  </si>
  <si>
    <t xml:space="preserve">PISSEURE</t>
  </si>
  <si>
    <t xml:space="preserve">PISSEURE A LA TRANCLIERE</t>
  </si>
  <si>
    <t xml:space="preserve">06800000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</si>
  <si>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</si>
  <si>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</si>
  <si>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</si>
  <si>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</si>
  <si>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</si>
  <si>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</si>
  <si>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</si>
  <si>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</si>
  <si>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</si>
  <si>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HILSPX</t>
  </si>
  <si>
    <t xml:space="preserve">Faciès dominant</t>
  </si>
  <si>
    <t xml:space="preserve">pl. lent</t>
  </si>
  <si>
    <t xml:space="preserve">niveau trophique</t>
  </si>
  <si>
    <t xml:space="preserve">faible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</si>
  <si>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</si>
  <si>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</si>
  <si>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</si>
  <si>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</si>
  <si>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</si>
  <si>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</si>
  <si>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</si>
  <si>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</si>
  <si>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</si>
  <si>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</si>
  <si>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</si>
  <si>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</si>
  <si>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</si>
  <si>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</si>
  <si>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</si>
  <si>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</si>
  <si>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</si>
  <si>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</si>
  <si>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</si>
  <si>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</si>
  <si>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</si>
  <si>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</si>
  <si>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</si>
  <si>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</si>
  <si>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</si>
  <si>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</si>
  <si>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</si>
  <si>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</si>
  <si>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</si>
  <si>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</si>
  <si>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</si>
  <si>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</si>
  <si>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</si>
  <si>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</si>
  <si>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</si>
  <si>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</si>
  <si>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</si>
  <si>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</si>
  <si>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</si>
  <si>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</si>
  <si>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</si>
  <si>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</si>
  <si>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</si>
  <si>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</si>
  <si>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</si>
  <si>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</si>
  <si>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</si>
  <si>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</si>
  <si>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</si>
  <si>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</si>
  <si>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</si>
  <si>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</si>
  <si>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</si>
  <si>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</si>
  <si>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</si>
  <si>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</si>
  <si>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</si>
  <si>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</si>
  <si>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 -</t>
  </si>
  <si>
    <t xml:space="preserve">MELSPX</t>
  </si>
  <si>
    <t xml:space="preserve">CHIPOL</t>
  </si>
  <si>
    <t xml:space="preserve">CARVUL</t>
  </si>
  <si>
    <t xml:space="preserve">IRIPSE</t>
  </si>
  <si>
    <t xml:space="preserve">PHRAUS</t>
  </si>
  <si>
    <t xml:space="preserve">VERANA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</si>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</sst>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PITRA_08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42163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12.5</v>
      </c>
      <c r="N5" s="51"/>
      <c r="O5" s="52" t="s">
        <v>16</v>
      </c>
      <c r="P5" s="53" t="n">
        <v>11.25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/>
      <c r="D6" s="57"/>
      <c r="E6" s="57"/>
      <c r="F6" s="58"/>
      <c r="G6" s="46"/>
      <c r="H6" s="44"/>
      <c r="I6" s="8"/>
      <c r="J6" s="59"/>
      <c r="K6" s="60"/>
      <c r="L6" s="61" t="s">
        <v>19</v>
      </c>
      <c r="M6" s="62" t="s">
        <v>20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100</v>
      </c>
      <c r="C7" s="69"/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11.6666666666667</v>
      </c>
      <c r="P8" s="83" t="n">
        <f aca="false">IF(ISERROR(AVERAGE(K23:K82)),"  ",AVERAGE(K23:K82))</f>
        <v>1.66666666666667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0.28</v>
      </c>
      <c r="C9" s="86"/>
      <c r="D9" s="87"/>
      <c r="E9" s="87"/>
      <c r="F9" s="88" t="n">
        <f aca="false">($B9*$B$7+$C9*$C$7)/100</f>
        <v>0.28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2.42670329642684</v>
      </c>
      <c r="P9" s="83" t="n">
        <f aca="false">IF(ISERROR(STDEVP(K23:K82)),"  ",STDEVP(K23:K82))</f>
        <v>0.471404520791032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/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9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15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0.23</v>
      </c>
      <c r="C12" s="111"/>
      <c r="D12" s="87"/>
      <c r="E12" s="87"/>
      <c r="F12" s="104" t="n">
        <f aca="false">($B12*$B$7+$C12*$C$7)/100</f>
        <v>0.23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2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0.01</v>
      </c>
      <c r="C13" s="111"/>
      <c r="D13" s="87"/>
      <c r="E13" s="87"/>
      <c r="F13" s="104" t="n">
        <f aca="false">($B13*$B$7+$C13*$C$7)/100</f>
        <v>0.01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1</v>
      </c>
      <c r="M13" s="108"/>
      <c r="N13" s="116" t="s">
        <v>41</v>
      </c>
      <c r="O13" s="117" t="n">
        <f aca="false">COUNTIF(F23:F82,"&gt;0")</f>
        <v>7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6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 t="n">
        <v>0.04</v>
      </c>
      <c r="C15" s="124"/>
      <c r="D15" s="87"/>
      <c r="E15" s="87"/>
      <c r="F15" s="104" t="n">
        <f aca="false">($B15*$B$7+$C15*$C$7)/100</f>
        <v>0.04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4</v>
      </c>
      <c r="M15" s="108"/>
      <c r="N15" s="116" t="s">
        <v>47</v>
      </c>
      <c r="O15" s="117" t="n">
        <f aca="false">COUNTIF(K23:K82,"=1")</f>
        <v>2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4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0.24</v>
      </c>
      <c r="C17" s="111"/>
      <c r="D17" s="87"/>
      <c r="E17" s="87"/>
      <c r="F17" s="129"/>
      <c r="G17" s="130" t="n">
        <f aca="false">($B17*$B$7+$C17*$C$7)/100</f>
        <v>0.24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0.857142857142857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 t="n">
        <v>0.04</v>
      </c>
      <c r="C18" s="138"/>
      <c r="D18" s="87"/>
      <c r="E18" s="139" t="s">
        <v>54</v>
      </c>
      <c r="F18" s="129"/>
      <c r="G18" s="130" t="n">
        <f aca="false">($B18*$B$7+$C18*$C$7)/100</f>
        <v>0.04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0.28</v>
      </c>
      <c r="G19" s="150" t="n">
        <f aca="false">SUM(G16:G18)</f>
        <v>0.28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0.28</v>
      </c>
      <c r="C20" s="160" t="n">
        <f aca="false">SUM(C23:C62)</f>
        <v>0</v>
      </c>
      <c r="D20" s="161"/>
      <c r="E20" s="162" t="s">
        <v>54</v>
      </c>
      <c r="F20" s="163" t="n">
        <f aca="false">($B20*$B$7+$C20*$C$7)/100</f>
        <v>0.28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0.28</v>
      </c>
      <c r="C21" s="171" t="n">
        <f aca="false">C20*C7/100</f>
        <v>0</v>
      </c>
      <c r="D21" s="172" t="s">
        <v>57</v>
      </c>
      <c r="E21" s="173"/>
      <c r="F21" s="174" t="n">
        <f aca="false">B21+C21</f>
        <v>0.28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16</v>
      </c>
      <c r="B23" s="199" t="n">
        <v>0.2</v>
      </c>
      <c r="C23" s="200"/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Hildenbrandia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0.2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15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Hildenbrandia sp.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1157</v>
      </c>
      <c r="R23" s="211" t="n">
        <f aca="false">IF(ISTEXT(H23),"",(B23*$B$7/100)+(C23*$C$7/100))</f>
        <v>0.2</v>
      </c>
      <c r="S23" s="212" t="n">
        <f aca="false">IF(OR(ISTEXT(H23),R23=0),"",IF(R23&lt;0.1,1,IF(R23&lt;1,2,IF(R23&lt;10,3,IF(R23&lt;50,4,IF(R23&gt;=50,5,""))))))</f>
        <v>2</v>
      </c>
      <c r="T23" s="212" t="n">
        <f aca="false">IF(ISERROR(S23*J23),0,S23*J23)</f>
        <v>30</v>
      </c>
      <c r="U23" s="212" t="n">
        <f aca="false">IF(ISERROR(S23*J23*K23),0,S23*J23*K23)</f>
        <v>60</v>
      </c>
      <c r="V23" s="212" t="n">
        <f aca="false">IF(ISERROR(S23*K23),0,S23*K23)</f>
        <v>4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HILSPX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53</v>
      </c>
    </row>
    <row r="24" customFormat="false" ht="12.75" hidden="false" customHeight="false" outlineLevel="0" collapsed="false">
      <c r="A24" s="216" t="s">
        <v>80</v>
      </c>
      <c r="B24" s="217" t="n">
        <v>0.03</v>
      </c>
      <c r="C24" s="218"/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Melosira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0.03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10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Melosira sp.</v>
      </c>
      <c r="M24" s="225"/>
      <c r="N24" s="225"/>
      <c r="O24" s="225"/>
      <c r="P24" s="226" t="s">
        <v>79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8714</v>
      </c>
      <c r="R24" s="211" t="n">
        <f aca="false">IF(ISTEXT(H24),"",(B24*$B$7/100)+(C24*$C$7/100))</f>
        <v>0.03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10</v>
      </c>
      <c r="U24" s="212" t="n">
        <f aca="false">IF(ISERROR(S24*J24*K24),0,S24*J24*K24)</f>
        <v>10</v>
      </c>
      <c r="V24" s="228" t="n">
        <f aca="false">IF(ISERROR(S24*K24),0,S24*K24)</f>
        <v>1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MELSPX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62</v>
      </c>
    </row>
    <row r="25" customFormat="false" ht="12.75" hidden="false" customHeight="false" outlineLevel="0" collapsed="false">
      <c r="A25" s="216" t="s">
        <v>81</v>
      </c>
      <c r="B25" s="217" t="n">
        <v>0.01</v>
      </c>
      <c r="C25" s="218"/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Chiloscyphus polyanthos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0.01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BRh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4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15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Chiloscyphus polyanthos</v>
      </c>
      <c r="M25" s="225"/>
      <c r="N25" s="225"/>
      <c r="O25" s="225"/>
      <c r="P25" s="226" t="s">
        <v>79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1186</v>
      </c>
      <c r="R25" s="211" t="n">
        <f aca="false">IF(ISTEXT(H25),"",(B25*$B$7/100)+(C25*$C$7/100))</f>
        <v>0.01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15</v>
      </c>
      <c r="U25" s="212" t="n">
        <f aca="false">IF(ISERROR(S25*J25*K25),0,S25*J25*K25)</f>
        <v>30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CHIPOL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137</v>
      </c>
    </row>
    <row r="26" customFormat="false" ht="12.75" hidden="false" customHeight="false" outlineLevel="0" collapsed="false">
      <c r="A26" s="216" t="s">
        <v>82</v>
      </c>
      <c r="B26" s="217" t="n">
        <v>0.01</v>
      </c>
      <c r="C26" s="218"/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Carex vulpina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0.01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PHe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8</v>
      </c>
      <c r="I26" s="8" t="n">
        <f aca="false">IF(A26="","",1)</f>
        <v>1</v>
      </c>
      <c r="J26" s="224" t="str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nc</v>
      </c>
      <c r="K26" s="224" t="str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nc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Carex vulpina</v>
      </c>
      <c r="M26" s="225"/>
      <c r="N26" s="225"/>
      <c r="O26" s="225"/>
      <c r="P26" s="226" t="s">
        <v>79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19581</v>
      </c>
      <c r="R26" s="211" t="n">
        <f aca="false">IF(ISTEXT(H26),"",(B26*$B$7/100)+(C26*$C$7/100))</f>
        <v>0.01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0</v>
      </c>
      <c r="U26" s="212" t="n">
        <f aca="false">IF(ISERROR(S26*J26*K26),0,S26*J26*K26)</f>
        <v>0</v>
      </c>
      <c r="V26" s="228" t="n">
        <f aca="false">IF(ISERROR(S26*K26),0,S26*K26)</f>
        <v>0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CARVUL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640</v>
      </c>
    </row>
    <row r="27" customFormat="false" ht="12.75" hidden="false" customHeight="false" outlineLevel="0" collapsed="false">
      <c r="A27" s="216" t="s">
        <v>83</v>
      </c>
      <c r="B27" s="217" t="n">
        <v>0.01</v>
      </c>
      <c r="C27" s="218"/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Iris pseudacorus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0.01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PHe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8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10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Iris pseudacorus</v>
      </c>
      <c r="M27" s="225"/>
      <c r="N27" s="225"/>
      <c r="O27" s="225"/>
      <c r="P27" s="226" t="s">
        <v>79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1601</v>
      </c>
      <c r="R27" s="211" t="n">
        <f aca="false">IF(ISTEXT(H27),"",(B27*$B$7/100)+(C27*$C$7/100))</f>
        <v>0.01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10</v>
      </c>
      <c r="U27" s="212" t="n">
        <f aca="false">IF(ISERROR(S27*J27*K27),0,S27*J27*K27)</f>
        <v>10</v>
      </c>
      <c r="V27" s="228" t="n">
        <f aca="false">IF(ISERROR(S27*K27),0,S27*K27)</f>
        <v>1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IRIPSE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682</v>
      </c>
    </row>
    <row r="28" customFormat="false" ht="12.75" hidden="false" customHeight="false" outlineLevel="0" collapsed="false">
      <c r="A28" s="216" t="s">
        <v>84</v>
      </c>
      <c r="B28" s="217" t="n">
        <v>0.01</v>
      </c>
      <c r="C28" s="218"/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Phragmites australis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0.01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PHe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8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9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Phragmites australis</v>
      </c>
      <c r="M28" s="225"/>
      <c r="N28" s="225"/>
      <c r="O28" s="225"/>
      <c r="P28" s="226" t="s">
        <v>79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1579</v>
      </c>
      <c r="R28" s="211" t="n">
        <f aca="false">IF(ISTEXT(H28),"",(B28*$B$7/100)+(C28*$C$7/100))</f>
        <v>0.01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9</v>
      </c>
      <c r="U28" s="212" t="n">
        <f aca="false">IF(ISERROR(S28*J28*K28),0,S28*J28*K28)</f>
        <v>18</v>
      </c>
      <c r="V28" s="228" t="n">
        <f aca="false">IF(ISERROR(S28*K28),0,S28*K28)</f>
        <v>2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PHRAUS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709</v>
      </c>
    </row>
    <row r="29" customFormat="false" ht="12.75" hidden="false" customHeight="false" outlineLevel="0" collapsed="false">
      <c r="A29" s="216" t="s">
        <v>85</v>
      </c>
      <c r="B29" s="217" t="n">
        <v>0.01</v>
      </c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Veronica anagallis-aquatica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0.01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PHe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8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11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Veronica anagallis-aquatica</v>
      </c>
      <c r="M29" s="225"/>
      <c r="N29" s="225"/>
      <c r="O29" s="225"/>
      <c r="P29" s="226" t="s">
        <v>79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1955</v>
      </c>
      <c r="R29" s="211" t="n">
        <f aca="false">IF(ISTEXT(H29),"",(B29*$B$7/100)+(C29*$C$7/100))</f>
        <v>0.01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11</v>
      </c>
      <c r="U29" s="212" t="n">
        <f aca="false">IF(ISERROR(S29*J29*K29),0,S29*J29*K29)</f>
        <v>22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VERANA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740</v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79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79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79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79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79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79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79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79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79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79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79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79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79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79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79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79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79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79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79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79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79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79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79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79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79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79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79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79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79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79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79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79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79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79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79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79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79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79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79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79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79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79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79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79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79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79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79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79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79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79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79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79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0.28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12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PISSEURE</v>
      </c>
      <c r="B84" s="180" t="str">
        <f aca="false">C3</f>
        <v>PISSEURE A LA TRANCLIERE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12.5</v>
      </c>
      <c r="E84" s="254" t="n">
        <f aca="false">O13</f>
        <v>7</v>
      </c>
      <c r="F84" s="180" t="n">
        <f aca="false">O14</f>
        <v>6</v>
      </c>
      <c r="G84" s="180" t="n">
        <f aca="false">O15</f>
        <v>2</v>
      </c>
      <c r="H84" s="180" t="n">
        <f aca="false">O16</f>
        <v>4</v>
      </c>
      <c r="I84" s="180" t="n">
        <f aca="false">O17</f>
        <v>0</v>
      </c>
      <c r="J84" s="255" t="n">
        <f aca="false">O8</f>
        <v>11.6666666666667</v>
      </c>
      <c r="K84" s="256" t="n">
        <f aca="false">O9</f>
        <v>2.42670329642684</v>
      </c>
      <c r="L84" s="257" t="n">
        <f aca="false">O10</f>
        <v>9</v>
      </c>
      <c r="M84" s="257" t="n">
        <f aca="false">O11</f>
        <v>15</v>
      </c>
      <c r="N84" s="256" t="n">
        <f aca="false">P8</f>
        <v>1.66666666666667</v>
      </c>
      <c r="O84" s="256" t="n">
        <f aca="false">P9</f>
        <v>0.471404520791032</v>
      </c>
      <c r="P84" s="257" t="n">
        <f aca="false">P10</f>
        <v>1</v>
      </c>
      <c r="Q84" s="257" t="n">
        <f aca="false">P11</f>
        <v>2</v>
      </c>
      <c r="R84" s="257" t="n">
        <f aca="false">F21</f>
        <v>0.28</v>
      </c>
      <c r="S84" s="257" t="n">
        <f aca="false">L11</f>
        <v>0</v>
      </c>
      <c r="T84" s="257" t="n">
        <f aca="false">L12</f>
        <v>2</v>
      </c>
      <c r="U84" s="257" t="n">
        <f aca="false">L13</f>
        <v>1</v>
      </c>
      <c r="V84" s="258" t="n">
        <f aca="false">L15</f>
        <v>4</v>
      </c>
      <c r="W84" s="259" t="n">
        <f aca="false">L15</f>
        <v>4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86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87</v>
      </c>
      <c r="S87" s="8"/>
      <c r="T87" s="263" t="n">
        <f aca="false">VLOOKUP($T$91,($A$23:$U$82),20,FALSE())</f>
        <v>30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88</v>
      </c>
      <c r="S88" s="8"/>
      <c r="T88" s="263" t="n">
        <f aca="false">VLOOKUP($T$91,($A$23:$U$82),21,FALSE())</f>
        <v>60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89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90</v>
      </c>
      <c r="S90" s="8" t="s">
        <v>10</v>
      </c>
      <c r="T90" s="264" t="n">
        <f aca="false">IF(OR(ISERROR(SUM($U$23:$U$82)/SUM($V$23:$V$82)),F7&lt;&gt;100),-1,(SUM($U$23:$U$82)-T88)/(SUM($V$23:$V$82)-T89))</f>
        <v>11.25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91</v>
      </c>
      <c r="S91" s="212"/>
      <c r="T91" s="212" t="str">
        <f aca="false">INDEX('[1]liste reference'!$A$6:$A$1174,$U$91)</f>
        <v>HILSPX</v>
      </c>
      <c r="U91" s="8" t="n">
        <f aca="false">IF(ISERROR(MATCH($T$93,'[1]liste reference'!$A$6:$A$1174,0)),MATCH($T$93,'[1]liste reference'!$B$6:$B$1174,0),(MATCH($T$93,'[1]liste reference'!$A$6:$A$1174,0)))</f>
        <v>53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92</v>
      </c>
      <c r="S92" s="8"/>
      <c r="T92" s="8" t="n">
        <f aca="false">MATCH(T89,$V$23:$V$82,0)</f>
        <v>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93</v>
      </c>
      <c r="S93" s="8"/>
      <c r="T93" s="212" t="str">
        <f aca="false">INDEX($A$23:$A$82,$T$92)</f>
        <v>HILSPX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2016-05-04T07:29:05Z</dcterms:created>
  <dc:creator>laurianne isebe</dc:creator>
  <dc:description/>
  <dc:language>fr-FR</dc:language>
  <cp:lastModifiedBy>laurianne isebe</cp:lastModifiedBy>
  <dcterms:modified xsi:type="dcterms:W3CDTF">2016-05-04T07:29:07Z</dcterms:modified>
  <cp:revision>0</cp:revision>
  <dc:subject/>
  <dc:title/>
</cp:coreProperties>
</file>