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<sst xmlns="http://schemas.openxmlformats.org/spreadsheetml/2006/main" count="117" uniqueCount="112">
  <si>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</si>
  <si>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</si>
  <si>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</si>
  <si>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L.ISEBE L.BOURGOIN</t>
  </si>
  <si>
    <t xml:space="preserve">conforme AFNOR T90-395 oct. 2003</t>
  </si>
  <si>
    <t xml:space="preserve">Saône</t>
  </si>
  <si>
    <t xml:space="preserve">Saône à St Symphorien</t>
  </si>
  <si>
    <t xml:space="preserve">06810010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</si>
  <si>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</si>
  <si>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</si>
  <si>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</si>
  <si>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</si>
  <si>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</si>
  <si>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</si>
  <si>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</si>
  <si>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</si>
  <si>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MYRVER</t>
  </si>
  <si>
    <t xml:space="preserve">Faciès dominant</t>
  </si>
  <si>
    <t xml:space="preserve">ch.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</si>
  <si>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</si>
  <si>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</si>
  <si>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</si>
  <si>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</si>
  <si>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</si>
  <si>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</si>
  <si>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</si>
  <si>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</si>
  <si>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</si>
  <si>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</si>
  <si>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</si>
  <si>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</si>
  <si>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</si>
  <si>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</si>
  <si>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</si>
  <si>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</si>
  <si>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</si>
  <si>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</si>
  <si>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</si>
  <si>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</si>
  <si>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</si>
  <si>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</si>
  <si>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</si>
  <si>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</si>
  <si>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</si>
  <si>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</si>
  <si>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</si>
  <si>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</si>
  <si>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</si>
  <si>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</si>
  <si>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</si>
  <si>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</si>
  <si>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</si>
  <si>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</si>
  <si>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</si>
  <si>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</si>
  <si>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</si>
  <si>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</si>
  <si>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</si>
  <si>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</si>
  <si>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</si>
  <si>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</si>
  <si>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</si>
  <si>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</si>
  <si>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</si>
  <si>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</si>
  <si>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</si>
  <si>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</si>
  <si>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</si>
  <si>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</si>
  <si>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</si>
  <si>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</si>
  <si>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</si>
  <si>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</si>
  <si>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</si>
  <si>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</si>
  <si>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</si>
  <si>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</si>
  <si>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</si>
  <si>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LYNSPX</t>
  </si>
  <si>
    <t xml:space="preserve">MICSPX</t>
  </si>
  <si>
    <t xml:space="preserve">PHOSPX</t>
  </si>
  <si>
    <t xml:space="preserve">RHISPX</t>
  </si>
  <si>
    <t xml:space="preserve">SPISPX</t>
  </si>
  <si>
    <t xml:space="preserve">VAUSPX</t>
  </si>
  <si>
    <t xml:space="preserve">CINFON</t>
  </si>
  <si>
    <t xml:space="preserve">CERDEM</t>
  </si>
  <si>
    <t xml:space="preserve">MYRSPI</t>
  </si>
  <si>
    <t xml:space="preserve">NAJMAR</t>
  </si>
  <si>
    <t xml:space="preserve">NAJMIN</t>
  </si>
  <si>
    <t xml:space="preserve">NUPLUT</t>
  </si>
  <si>
    <t xml:space="preserve">POTLUC</t>
  </si>
  <si>
    <t xml:space="preserve">POTNOD</t>
  </si>
  <si>
    <t xml:space="preserve">POTPEC</t>
  </si>
  <si>
    <t xml:space="preserve">POTPER</t>
  </si>
  <si>
    <t xml:space="preserve">VALSPI</t>
  </si>
  <si>
    <t xml:space="preserve">CARSPX</t>
  </si>
  <si>
    <t xml:space="preserve">IRIPSE</t>
  </si>
  <si>
    <t xml:space="preserve">LYSVUL</t>
  </si>
  <si>
    <t xml:space="preserve">LYTSAL</t>
  </si>
  <si>
    <t xml:space="preserve">PHAARU</t>
  </si>
  <si>
    <t xml:space="preserve">newcod</t>
  </si>
  <si>
    <t xml:space="preserve">Salix alba</t>
  </si>
  <si>
    <t xml:space="preserve">Salix cinerea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</si>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</sst>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SASYM_04-09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41521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7.91176470588235</v>
      </c>
      <c r="M5" s="53"/>
      <c r="N5" s="54" t="s">
        <v>16</v>
      </c>
      <c r="O5" s="55" t="n">
        <v>7.28813559322034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/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/>
      <c r="C7" s="67" t="n">
        <v>100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8"/>
      <c r="E8" s="68"/>
      <c r="F8" s="80" t="s">
        <v>26</v>
      </c>
      <c r="G8" s="81"/>
      <c r="H8" s="82"/>
      <c r="I8" s="71"/>
      <c r="J8" s="72"/>
      <c r="K8" s="73"/>
      <c r="L8" s="74"/>
      <c r="M8" s="83" t="s">
        <v>27</v>
      </c>
      <c r="N8" s="84" t="n">
        <f aca="false">IF(ISERROR(AVERAGE(I23:I82)),"     -",AVERAGE(I23:I82))</f>
        <v>7.90476190476191</v>
      </c>
      <c r="O8" s="84" t="n">
        <f aca="false">IF(ISERROR(AVERAGE(J23:J82)),"      -",AVERAGE(J23:J82))</f>
        <v>1.95238095238095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/>
      <c r="C9" s="87" t="n">
        <v>42.12</v>
      </c>
      <c r="D9" s="88"/>
      <c r="E9" s="88"/>
      <c r="F9" s="89" t="n">
        <f aca="false">($B9*$B$7+$C9*$C$7)/100</f>
        <v>42.12</v>
      </c>
      <c r="G9" s="90"/>
      <c r="H9" s="91"/>
      <c r="I9" s="92"/>
      <c r="J9" s="93"/>
      <c r="K9" s="73"/>
      <c r="L9" s="94"/>
      <c r="M9" s="83" t="s">
        <v>29</v>
      </c>
      <c r="N9" s="84" t="n">
        <f aca="false">IF(ISERROR(STDEVP(I23:I82)),"     -",STDEVP(I23:I82))</f>
        <v>3.09999634262091</v>
      </c>
      <c r="O9" s="84" t="n">
        <f aca="false">IF(ISERROR(STDEVP(J23:J82)),"      -",STDEVP(J23:J82))</f>
        <v>0.722178613719195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/>
      <c r="C10" s="99" t="s">
        <v>31</v>
      </c>
      <c r="D10" s="100"/>
      <c r="E10" s="100"/>
      <c r="F10" s="89"/>
      <c r="G10" s="90"/>
      <c r="H10" s="101"/>
      <c r="I10" s="102"/>
      <c r="J10" s="103" t="s">
        <v>32</v>
      </c>
      <c r="K10" s="103"/>
      <c r="L10" s="104"/>
      <c r="M10" s="105" t="s">
        <v>33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34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35</v>
      </c>
      <c r="J11" s="114"/>
      <c r="K11" s="115" t="n">
        <f aca="false">COUNTIF($G$23:$G$82,"=HET")</f>
        <v>0</v>
      </c>
      <c r="L11" s="116"/>
      <c r="M11" s="105" t="s">
        <v>36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37</v>
      </c>
      <c r="B12" s="118"/>
      <c r="C12" s="119" t="n">
        <v>0.13</v>
      </c>
      <c r="D12" s="111"/>
      <c r="E12" s="111"/>
      <c r="F12" s="112" t="n">
        <f aca="false">($B12*$B$7+$C12*$C$7)/100</f>
        <v>0.13</v>
      </c>
      <c r="G12" s="120"/>
      <c r="H12" s="68"/>
      <c r="I12" s="121" t="s">
        <v>38</v>
      </c>
      <c r="J12" s="121"/>
      <c r="K12" s="115" t="n">
        <f aca="false">COUNTIF($G$23:$G$82,"=ALG")</f>
        <v>7</v>
      </c>
      <c r="L12" s="122"/>
      <c r="M12" s="123"/>
      <c r="N12" s="124" t="s">
        <v>32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39</v>
      </c>
      <c r="B13" s="118"/>
      <c r="C13" s="119" t="n">
        <v>0.01</v>
      </c>
      <c r="D13" s="111"/>
      <c r="E13" s="111"/>
      <c r="F13" s="112" t="n">
        <f aca="false">($B13*$B$7+$C13*$C$7)/100</f>
        <v>0.01</v>
      </c>
      <c r="G13" s="120"/>
      <c r="H13" s="68"/>
      <c r="I13" s="121" t="s">
        <v>40</v>
      </c>
      <c r="J13" s="121"/>
      <c r="K13" s="115" t="n">
        <f aca="false">COUNTIF($G$23:$G$82,"=BRm")+COUNTIF($G$23:$G$82,"=BRh")</f>
        <v>1</v>
      </c>
      <c r="L13" s="116"/>
      <c r="M13" s="127" t="s">
        <v>41</v>
      </c>
      <c r="N13" s="128" t="n">
        <f aca="false">COUNTIF(F23:F82,"&gt;0")</f>
        <v>26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42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43</v>
      </c>
      <c r="J14" s="121"/>
      <c r="K14" s="115" t="n">
        <f aca="false">COUNTIF($G$23:$G$82,"=PTE")+COUNTIF($G$23:$G$82,"=LIC")</f>
        <v>0</v>
      </c>
      <c r="L14" s="116"/>
      <c r="M14" s="131" t="s">
        <v>44</v>
      </c>
      <c r="N14" s="132" t="n">
        <f aca="false">COUNTIF($I$23:$I$82,"&gt;-1")</f>
        <v>21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45</v>
      </c>
      <c r="B15" s="135"/>
      <c r="C15" s="136" t="n">
        <v>41.98</v>
      </c>
      <c r="D15" s="111"/>
      <c r="E15" s="111"/>
      <c r="F15" s="112" t="n">
        <f aca="false">($B15*$B$7+$C15*$C$7)/100</f>
        <v>41.98</v>
      </c>
      <c r="G15" s="120"/>
      <c r="H15" s="68"/>
      <c r="I15" s="121" t="s">
        <v>46</v>
      </c>
      <c r="J15" s="121"/>
      <c r="K15" s="115" t="n">
        <f aca="false">(COUNTIF($G$23:$G$82,"=PHy"))+(COUNTIF($G$23:$G$82,"=PHe"))+(COUNTIF($G$23:$G$82,"=PHg"))+(COUNTIF($G$23:$G$82,"=PHx"))</f>
        <v>16</v>
      </c>
      <c r="L15" s="116"/>
      <c r="M15" s="137" t="s">
        <v>47</v>
      </c>
      <c r="N15" s="138" t="n">
        <f aca="false">COUNTIF(J23:J82,"=1")</f>
        <v>6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48</v>
      </c>
      <c r="B16" s="109"/>
      <c r="C16" s="110" t="n">
        <v>30.39</v>
      </c>
      <c r="D16" s="140"/>
      <c r="E16" s="140"/>
      <c r="F16" s="141"/>
      <c r="G16" s="141" t="n">
        <f aca="false">($B16*$B$7+$C16*$C$7)/100</f>
        <v>30.39</v>
      </c>
      <c r="H16" s="68"/>
      <c r="I16" s="121"/>
      <c r="J16" s="142"/>
      <c r="K16" s="142"/>
      <c r="L16" s="116"/>
      <c r="M16" s="137" t="s">
        <v>49</v>
      </c>
      <c r="N16" s="138" t="n">
        <f aca="false">COUNTIF(J23:J82,"=2")</f>
        <v>10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50</v>
      </c>
      <c r="B17" s="118"/>
      <c r="C17" s="119" t="n">
        <v>11.71</v>
      </c>
      <c r="D17" s="111"/>
      <c r="E17" s="111"/>
      <c r="F17" s="143"/>
      <c r="G17" s="112" t="n">
        <f aca="false">($B17*$B$7+$C17*$C$7)/100</f>
        <v>11.71</v>
      </c>
      <c r="H17" s="68"/>
      <c r="I17" s="121"/>
      <c r="J17" s="121"/>
      <c r="K17" s="142"/>
      <c r="L17" s="116"/>
      <c r="M17" s="137" t="s">
        <v>51</v>
      </c>
      <c r="N17" s="138" t="n">
        <f aca="false">COUNTIF(J23:J82,"=3")</f>
        <v>5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52</v>
      </c>
      <c r="B18" s="145"/>
      <c r="C18" s="146" t="n">
        <v>0.02</v>
      </c>
      <c r="D18" s="111"/>
      <c r="E18" s="147" t="s">
        <v>53</v>
      </c>
      <c r="F18" s="143"/>
      <c r="G18" s="112" t="n">
        <f aca="false">($B18*$B$7+$C18*$C$7)/100</f>
        <v>0.02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42.12</v>
      </c>
      <c r="G19" s="156" t="n">
        <f aca="false">SUM(G16:G18)</f>
        <v>42.12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54</v>
      </c>
      <c r="B20" s="165" t="n">
        <f aca="false">SUM(B23:B82)</f>
        <v>0</v>
      </c>
      <c r="C20" s="166" t="n">
        <f aca="false">SUM(C23:C82)</f>
        <v>42.1188223529412</v>
      </c>
      <c r="D20" s="167"/>
      <c r="E20" s="168" t="s">
        <v>53</v>
      </c>
      <c r="F20" s="169" t="n">
        <f aca="false">($B20*$B$7+$C20*$C$7)/100</f>
        <v>42.1188223529412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55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56</v>
      </c>
      <c r="B21" s="179" t="n">
        <f aca="false">B20*B7/100</f>
        <v>0</v>
      </c>
      <c r="C21" s="179" t="n">
        <f aca="false">C20*C7/100</f>
        <v>42.1188223529412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42.1188223529412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57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58</v>
      </c>
      <c r="B22" s="190" t="s">
        <v>59</v>
      </c>
      <c r="C22" s="191" t="s">
        <v>59</v>
      </c>
      <c r="D22" s="140"/>
      <c r="E22" s="140"/>
      <c r="F22" s="192" t="s">
        <v>60</v>
      </c>
      <c r="G22" s="193" t="s">
        <v>61</v>
      </c>
      <c r="H22" s="140"/>
      <c r="I22" s="194" t="s">
        <v>62</v>
      </c>
      <c r="J22" s="194" t="s">
        <v>63</v>
      </c>
      <c r="K22" s="195" t="s">
        <v>64</v>
      </c>
      <c r="L22" s="195"/>
      <c r="M22" s="195"/>
      <c r="N22" s="195"/>
      <c r="O22" s="195"/>
      <c r="P22" s="196" t="s">
        <v>65</v>
      </c>
      <c r="Q22" s="197" t="s">
        <v>66</v>
      </c>
      <c r="R22" s="198" t="s">
        <v>67</v>
      </c>
      <c r="S22" s="199" t="s">
        <v>68</v>
      </c>
      <c r="T22" s="200" t="s">
        <v>69</v>
      </c>
      <c r="U22" s="201" t="s">
        <v>70</v>
      </c>
      <c r="V22" s="199" t="s">
        <v>71</v>
      </c>
      <c r="Y22" s="10" t="s">
        <v>72</v>
      </c>
      <c r="Z22" s="10" t="s">
        <v>73</v>
      </c>
      <c r="AA22" s="202" t="s">
        <v>74</v>
      </c>
      <c r="AB22" s="202" t="s">
        <v>75</v>
      </c>
      <c r="AC22" s="202" t="s">
        <v>76</v>
      </c>
    </row>
    <row r="23" customFormat="false" ht="12.75" hidden="false" customHeight="false" outlineLevel="0" collapsed="false">
      <c r="A23" s="203" t="s">
        <v>77</v>
      </c>
      <c r="B23" s="204" t="n">
        <v>0</v>
      </c>
      <c r="C23" s="205" t="n">
        <v>0.0552</v>
      </c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0.0552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0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1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0.0552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04" t="n">
        <v>0</v>
      </c>
      <c r="C24" s="223" t="n">
        <v>0.0046</v>
      </c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Lyngbya sp.</v>
      </c>
      <c r="E24" s="224" t="e">
        <f aca="false">IF(D24="",0,VLOOKUP(D24,D$22:D23,1,0))</f>
        <v>#N/A</v>
      </c>
      <c r="F24" s="225" t="n">
        <f aca="false">($B24*$B$7+$C24*$C$7)/100</f>
        <v>0.0046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10</v>
      </c>
      <c r="J24" s="210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1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Lyngbya sp.</v>
      </c>
      <c r="L24" s="226"/>
      <c r="M24" s="226"/>
      <c r="N24" s="226"/>
      <c r="O24" s="213"/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1107</v>
      </c>
      <c r="Q24" s="215" t="n">
        <f aca="false">IF(ISTEXT(H24),"",(B24*$B$7/100)+(C24*$C$7/100))</f>
        <v>0.0046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10</v>
      </c>
      <c r="T24" s="216" t="n">
        <f aca="false">IF(ISERROR(R24*I24*J24),0,R24*I24*J24)</f>
        <v>20</v>
      </c>
      <c r="U24" s="227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IF(A24="new.cod","NEWCOD",IF(AND((Z24=""),ISTEXT(A24)),A24,IF(Z24="","",INDEX('[1]liste reference'!$A$8:$A$904,Z24))))</f>
        <v>LYNSPX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35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04" t="n">
        <v>0</v>
      </c>
      <c r="C25" s="223" t="n">
        <v>0.0092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Microspora sp.</v>
      </c>
      <c r="E25" s="224" t="e">
        <f aca="false">IF(D25="",0,VLOOKUP(D25,D$22:D24,1,0))</f>
        <v>#N/A</v>
      </c>
      <c r="F25" s="225" t="n">
        <f aca="false">($B25*$B$7+$C25*$C$7)/100</f>
        <v>0.0092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12</v>
      </c>
      <c r="J25" s="210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1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Microspora sp.</v>
      </c>
      <c r="L25" s="226"/>
      <c r="M25" s="226"/>
      <c r="N25" s="226"/>
      <c r="O25" s="213"/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1132</v>
      </c>
      <c r="Q25" s="215" t="n">
        <f aca="false">IF(ISTEXT(H25),"",(B25*$B$7/100)+(C25*$C$7/100))</f>
        <v>0.0092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12</v>
      </c>
      <c r="T25" s="216" t="n">
        <f aca="false">IF(ISERROR(R25*I25*J25),0,R25*I25*J25)</f>
        <v>24</v>
      </c>
      <c r="U25" s="227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IF(A25="new.cod","NEWCOD",IF(AND((Z25=""),ISTEXT(A25)),A25,IF(Z25="","",INDEX('[1]liste reference'!$A$8:$A$904,Z25))))</f>
        <v>MICSPX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41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04" t="n">
        <v>0</v>
      </c>
      <c r="C26" s="223" t="n">
        <v>0.00874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4" t="e">
        <f aca="false">IF(D26="",0,VLOOKUP(D26,D$22:D25,1,0))</f>
        <v>#N/A</v>
      </c>
      <c r="F26" s="225" t="n">
        <f aca="false">($B26*$B$7+$C26*$C$7)/100</f>
        <v>0.00874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0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1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6"/>
      <c r="M26" s="226"/>
      <c r="N26" s="226"/>
      <c r="O26" s="213"/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5" t="n">
        <f aca="false">IF(ISTEXT(H26),"",(B26*$B$7/100)+(C26*$C$7/100))</f>
        <v>0.00874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13</v>
      </c>
      <c r="T26" s="216" t="n">
        <f aca="false">IF(ISERROR(R26*I26*J26),0,R26*I26*J26)</f>
        <v>26</v>
      </c>
      <c r="U26" s="227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04" t="n">
        <v>0</v>
      </c>
      <c r="C27" s="223" t="n">
        <v>0.0397058823529412</v>
      </c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Rhizoclonium sp.</v>
      </c>
      <c r="E27" s="224" t="e">
        <f aca="false">IF(D27="",0,VLOOKUP(D27,D$22:D26,1,0))</f>
        <v>#N/A</v>
      </c>
      <c r="F27" s="225" t="n">
        <f aca="false">($B27*$B$7+$C27*$C$7)/100</f>
        <v>0.0397058823529412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0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2</v>
      </c>
      <c r="K27" s="211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Rhizoclonium sp.</v>
      </c>
      <c r="L27" s="226"/>
      <c r="M27" s="226"/>
      <c r="N27" s="226"/>
      <c r="O27" s="213"/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1125</v>
      </c>
      <c r="Q27" s="215" t="n">
        <f aca="false">IF(ISTEXT(H27),"",(B27*$B$7/100)+(C27*$C$7/100))</f>
        <v>0.0397058823529412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4</v>
      </c>
      <c r="T27" s="216" t="n">
        <f aca="false">IF(ISERROR(R27*I27*J27),0,R27*I27*J27)</f>
        <v>8</v>
      </c>
      <c r="U27" s="227" t="n">
        <f aca="false">IF(ISERROR(R27*J27),0,R27*J27)</f>
        <v>2</v>
      </c>
      <c r="V27" s="217" t="str">
        <f aca="false">IF(AND(A27="",F27=0),"",IF(F27=0,"Il manque le(s) % de rec. !",""))</f>
        <v/>
      </c>
      <c r="W27" s="228"/>
      <c r="Y27" s="219" t="str">
        <f aca="false">IF(A27="new.cod","NEWCOD",IF(AND((Z27=""),ISTEXT(A27)),A27,IF(Z27="","",INDEX('[1]liste reference'!$A$8:$A$904,Z27))))</f>
        <v>RHISPX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62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04" t="n">
        <v>0</v>
      </c>
      <c r="C28" s="223" t="n">
        <v>0.0046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Spirogyra sp.</v>
      </c>
      <c r="E28" s="224" t="e">
        <f aca="false">IF(D28="",0,VLOOKUP(D28,D$22:D27,1,0))</f>
        <v>#N/A</v>
      </c>
      <c r="F28" s="225" t="n">
        <f aca="false">($B28*$B$7+$C28*$C$7)/100</f>
        <v>0.0046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09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0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10</v>
      </c>
      <c r="J28" s="210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1</v>
      </c>
      <c r="K28" s="211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Spirogyra sp.</v>
      </c>
      <c r="L28" s="226"/>
      <c r="M28" s="226"/>
      <c r="N28" s="226"/>
      <c r="O28" s="213"/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1147</v>
      </c>
      <c r="Q28" s="215" t="n">
        <f aca="false">IF(ISTEXT(H28),"",(B28*$B$7/100)+(C28*$C$7/100))</f>
        <v>0.0046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10</v>
      </c>
      <c r="T28" s="216" t="n">
        <f aca="false">IF(ISERROR(R28*I28*J28),0,R28*I28*J28)</f>
        <v>10</v>
      </c>
      <c r="U28" s="227" t="n">
        <f aca="false">IF(ISERROR(R28*J28),0,R28*J28)</f>
        <v>1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IF(A28="new.cod","NEWCOD",IF(AND((Z28=""),ISTEXT(A28)),A28,IF(Z28="","",INDEX('[1]liste reference'!$A$8:$A$904,Z28))))</f>
        <v>SPISPX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69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04" t="n">
        <v>0</v>
      </c>
      <c r="C29" s="223" t="n">
        <v>0.0046</v>
      </c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Vaucheria sp.</v>
      </c>
      <c r="E29" s="224" t="e">
        <f aca="false">IF(D29="",0,VLOOKUP(D29,D$22:D28,1,0))</f>
        <v>#N/A</v>
      </c>
      <c r="F29" s="225" t="n">
        <f aca="false">($B29*$B$7+$C29*$C$7)/100</f>
        <v>0.0046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09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4</v>
      </c>
      <c r="J29" s="210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1</v>
      </c>
      <c r="K29" s="211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Vaucheria sp.</v>
      </c>
      <c r="L29" s="226"/>
      <c r="M29" s="226"/>
      <c r="N29" s="226"/>
      <c r="O29" s="213"/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6193</v>
      </c>
      <c r="Q29" s="215" t="n">
        <f aca="false">IF(ISTEXT(H29),"",(B29*$B$7/100)+(C29*$C$7/100))</f>
        <v>0.0046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4</v>
      </c>
      <c r="T29" s="216" t="n">
        <f aca="false">IF(ISERROR(R29*I29*J29),0,R29*I29*J29)</f>
        <v>4</v>
      </c>
      <c r="U29" s="227" t="n">
        <f aca="false">IF(ISERROR(R29*J29),0,R29*J29)</f>
        <v>1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IF(A29="new.cod","NEWCOD",IF(AND((Z29=""),ISTEXT(A29)),A29,IF(Z29="","",INDEX('[1]liste reference'!$A$8:$A$904,Z29))))</f>
        <v>VAUSPX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82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04" t="n">
        <v>0</v>
      </c>
      <c r="C30" s="223" t="n">
        <v>0.0046</v>
      </c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Cinclidotus fontinaloides</v>
      </c>
      <c r="E30" s="224" t="e">
        <f aca="false">IF(D30="",0,VLOOKUP(D30,D$22:D29,1,0))</f>
        <v>#N/A</v>
      </c>
      <c r="F30" s="225" t="n">
        <f aca="false">($B30*$B$7+$C30*$C$7)/100</f>
        <v>0.0046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9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10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1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Cinclidotus fontinaloides</v>
      </c>
      <c r="L30" s="226"/>
      <c r="M30" s="226"/>
      <c r="N30" s="226"/>
      <c r="O30" s="213"/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1320</v>
      </c>
      <c r="Q30" s="215" t="n">
        <f aca="false">IF(ISTEXT(H30),"",(B30*$B$7/100)+(C30*$C$7/100))</f>
        <v>0.0046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12</v>
      </c>
      <c r="T30" s="216" t="n">
        <f aca="false">IF(ISERROR(R30*I30*J30),0,R30*I30*J30)</f>
        <v>24</v>
      </c>
      <c r="U30" s="227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IF(A30="new.cod","NEWCOD",IF(AND((Z30=""),ISTEXT(A30)),A30,IF(Z30="","",INDEX('[1]liste reference'!$A$8:$A$904,Z30))))</f>
        <v>CINFON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172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04" t="n">
        <v>0</v>
      </c>
      <c r="C31" s="223" t="n">
        <v>0.401658823529412</v>
      </c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Ceratophyllum demersum</v>
      </c>
      <c r="E31" s="224" t="e">
        <f aca="false">IF(D31="",0,VLOOKUP(D31,D$22:D30,1,0))</f>
        <v>#N/A</v>
      </c>
      <c r="F31" s="225" t="n">
        <f aca="false">($B31*$B$7+$C31*$C$7)/100</f>
        <v>0.401658823529412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PHy</v>
      </c>
      <c r="H31" s="209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7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5</v>
      </c>
      <c r="J31" s="210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1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Ceratophyllum demersum</v>
      </c>
      <c r="L31" s="226"/>
      <c r="M31" s="226"/>
      <c r="N31" s="226"/>
      <c r="O31" s="213"/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1717</v>
      </c>
      <c r="Q31" s="215" t="n">
        <f aca="false">IF(ISTEXT(H31),"",(B31*$B$7/100)+(C31*$C$7/100))</f>
        <v>0.401658823529412</v>
      </c>
      <c r="R31" s="216" t="n">
        <f aca="false">IF(OR(ISTEXT(H31),Q31=0),"",IF(Q31&lt;0.1,1,IF(Q31&lt;1,2,IF(Q31&lt;10,3,IF(Q31&lt;50,4,IF(Q31&gt;=50,5,""))))))</f>
        <v>2</v>
      </c>
      <c r="S31" s="216" t="n">
        <f aca="false">IF(ISERROR(R31*I31),0,R31*I31)</f>
        <v>10</v>
      </c>
      <c r="T31" s="216" t="n">
        <f aca="false">IF(ISERROR(R31*I31*J31),0,R31*I31*J31)</f>
        <v>20</v>
      </c>
      <c r="U31" s="227" t="n">
        <f aca="false">IF(ISERROR(R31*J31),0,R31*J31)</f>
        <v>4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IF(A31="new.cod","NEWCOD",IF(AND((Z31=""),ISTEXT(A31)),A31,IF(Z31="","",INDEX('[1]liste reference'!$A$8:$A$904,Z31))))</f>
        <v>CERDEM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330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04" t="n">
        <v>0</v>
      </c>
      <c r="C32" s="223" t="n">
        <v>3.82435294117647</v>
      </c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Myriophyllum spicatum</v>
      </c>
      <c r="E32" s="224" t="e">
        <f aca="false">IF(D32="",0,VLOOKUP(D32,D$22:D31,1,0))</f>
        <v>#N/A</v>
      </c>
      <c r="F32" s="225" t="n">
        <f aca="false">($B32*$B$7+$C32*$C$7)/100</f>
        <v>3.82435294117647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PHy</v>
      </c>
      <c r="H32" s="209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7</v>
      </c>
      <c r="I32" s="210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8</v>
      </c>
      <c r="J32" s="210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2</v>
      </c>
      <c r="K32" s="211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Myriophyllum spicatum</v>
      </c>
      <c r="L32" s="226"/>
      <c r="M32" s="226"/>
      <c r="N32" s="226"/>
      <c r="O32" s="213"/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1778</v>
      </c>
      <c r="Q32" s="215" t="n">
        <f aca="false">IF(ISTEXT(H32),"",(B32*$B$7/100)+(C32*$C$7/100))</f>
        <v>3.82435294117647</v>
      </c>
      <c r="R32" s="216" t="n">
        <f aca="false">IF(OR(ISTEXT(H32),Q32=0),"",IF(Q32&lt;0.1,1,IF(Q32&lt;1,2,IF(Q32&lt;10,3,IF(Q32&lt;50,4,IF(Q32&gt;=50,5,""))))))</f>
        <v>3</v>
      </c>
      <c r="S32" s="216" t="n">
        <f aca="false">IF(ISERROR(R32*I32),0,R32*I32)</f>
        <v>24</v>
      </c>
      <c r="T32" s="216" t="n">
        <f aca="false">IF(ISERROR(R32*I32*J32),0,R32*I32*J32)</f>
        <v>48</v>
      </c>
      <c r="U32" s="227" t="n">
        <f aca="false">IF(ISERROR(R32*J32),0,R32*J32)</f>
        <v>6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IF(A32="new.cod","NEWCOD",IF(AND((Z32=""),ISTEXT(A32)),A32,IF(Z32="","",INDEX('[1]liste reference'!$A$8:$A$904,Z32))))</f>
        <v>MYRSPI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373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 t="s">
        <v>16</v>
      </c>
      <c r="B33" s="204" t="n">
        <v>0</v>
      </c>
      <c r="C33" s="223" t="n">
        <v>3.12029411764706</v>
      </c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Myriophyllum verticillatum</v>
      </c>
      <c r="E33" s="224" t="e">
        <f aca="false">IF(D33="",0,VLOOKUP(D33,D$22:D32,1,0))</f>
        <v>#N/A</v>
      </c>
      <c r="F33" s="225" t="n">
        <f aca="false">($B33*$B$7+$C33*$C$7)/100</f>
        <v>3.12029411764706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PHy</v>
      </c>
      <c r="H33" s="209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7</v>
      </c>
      <c r="I33" s="210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0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3</v>
      </c>
      <c r="K33" s="211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Myriophyllum verticillatum</v>
      </c>
      <c r="L33" s="226"/>
      <c r="M33" s="226"/>
      <c r="N33" s="226"/>
      <c r="O33" s="213"/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1779</v>
      </c>
      <c r="Q33" s="215" t="n">
        <f aca="false">IF(ISTEXT(H33),"",(B33*$B$7/100)+(C33*$C$7/100))</f>
        <v>3.12029411764706</v>
      </c>
      <c r="R33" s="216" t="n">
        <f aca="false">IF(OR(ISTEXT(H33),Q33=0),"",IF(Q33&lt;0.1,1,IF(Q33&lt;1,2,IF(Q33&lt;10,3,IF(Q33&lt;50,4,IF(Q33&gt;=50,5,""))))))</f>
        <v>3</v>
      </c>
      <c r="S33" s="216" t="n">
        <f aca="false">IF(ISERROR(R33*I33),0,R33*I33)</f>
        <v>36</v>
      </c>
      <c r="T33" s="216" t="n">
        <f aca="false">IF(ISERROR(R33*I33*J33),0,R33*I33*J33)</f>
        <v>108</v>
      </c>
      <c r="U33" s="227" t="n">
        <f aca="false">IF(ISERROR(R33*J33),0,R33*J33)</f>
        <v>9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IF(A33="new.cod","NEWCOD",IF(AND((Z33=""),ISTEXT(A33)),A33,IF(Z33="","",INDEX('[1]liste reference'!$A$8:$A$904,Z33))))</f>
        <v>MYRVER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375</v>
      </c>
      <c r="AA33" s="220"/>
      <c r="AB33" s="221"/>
      <c r="AC33" s="221"/>
      <c r="BB33" s="10" t="n">
        <f aca="false">IF(A33="","",1)</f>
        <v>1</v>
      </c>
    </row>
    <row r="34" customFormat="false" ht="12.75" hidden="false" customHeight="false" outlineLevel="0" collapsed="false">
      <c r="A34" s="222" t="s">
        <v>87</v>
      </c>
      <c r="B34" s="204" t="n">
        <v>0</v>
      </c>
      <c r="C34" s="223" t="n">
        <v>1.94558823529412</v>
      </c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Najas marina</v>
      </c>
      <c r="E34" s="224" t="e">
        <f aca="false">IF(D34="",0,VLOOKUP(D34,D$22:D33,1,0))</f>
        <v>#N/A</v>
      </c>
      <c r="F34" s="229" t="n">
        <f aca="false">($B34*$B$7+$C34*$C$7)/100</f>
        <v>1.94558823529412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PHy</v>
      </c>
      <c r="H34" s="209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7</v>
      </c>
      <c r="I34" s="210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5</v>
      </c>
      <c r="J34" s="210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3</v>
      </c>
      <c r="K34" s="211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Najas marina</v>
      </c>
      <c r="L34" s="226"/>
      <c r="M34" s="226"/>
      <c r="N34" s="226"/>
      <c r="O34" s="213"/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1835</v>
      </c>
      <c r="Q34" s="215" t="n">
        <f aca="false">IF(ISTEXT(H34),"",(B34*$B$7/100)+(C34*$C$7/100))</f>
        <v>1.94558823529412</v>
      </c>
      <c r="R34" s="216" t="n">
        <f aca="false">IF(OR(ISTEXT(H34),Q34=0),"",IF(Q34&lt;0.1,1,IF(Q34&lt;1,2,IF(Q34&lt;10,3,IF(Q34&lt;50,4,IF(Q34&gt;=50,5,""))))))</f>
        <v>3</v>
      </c>
      <c r="S34" s="216" t="n">
        <f aca="false">IF(ISERROR(R34*I34),0,R34*I34)</f>
        <v>15</v>
      </c>
      <c r="T34" s="216" t="n">
        <f aca="false">IF(ISERROR(R34*I34*J34),0,R34*I34*J34)</f>
        <v>45</v>
      </c>
      <c r="U34" s="227" t="n">
        <f aca="false">IF(ISERROR(R34*J34),0,R34*J34)</f>
        <v>9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IF(A34="new.cod","NEWCOD",IF(AND((Z34=""),ISTEXT(A34)),A34,IF(Z34="","",INDEX('[1]liste reference'!$A$8:$A$904,Z34))))</f>
        <v>NAJMAR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379</v>
      </c>
      <c r="AA34" s="220"/>
      <c r="AB34" s="221"/>
      <c r="AC34" s="221"/>
      <c r="BB34" s="10" t="n">
        <f aca="false">IF(A34="","",1)</f>
        <v>1</v>
      </c>
    </row>
    <row r="35" customFormat="false" ht="12.75" hidden="false" customHeight="false" outlineLevel="0" collapsed="false">
      <c r="A35" s="222" t="s">
        <v>88</v>
      </c>
      <c r="B35" s="204" t="n">
        <v>0</v>
      </c>
      <c r="C35" s="223" t="n">
        <v>0.0046</v>
      </c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Najas minor</v>
      </c>
      <c r="E35" s="224" t="e">
        <f aca="false">IF(D35="",0,VLOOKUP(D35,D$22:D34,1,0))</f>
        <v>#N/A</v>
      </c>
      <c r="F35" s="229" t="n">
        <f aca="false">($B35*$B$7+$C35*$C$7)/100</f>
        <v>0.0046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PHy</v>
      </c>
      <c r="H35" s="209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7</v>
      </c>
      <c r="I35" s="210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6</v>
      </c>
      <c r="J35" s="210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3</v>
      </c>
      <c r="K35" s="211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Najas minor</v>
      </c>
      <c r="L35" s="226"/>
      <c r="M35" s="226"/>
      <c r="N35" s="226"/>
      <c r="O35" s="213"/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1836</v>
      </c>
      <c r="Q35" s="215" t="n">
        <f aca="false">IF(ISTEXT(H35),"",(B35*$B$7/100)+(C35*$C$7/100))</f>
        <v>0.0046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6</v>
      </c>
      <c r="T35" s="216" t="n">
        <f aca="false">IF(ISERROR(R35*I35*J35),0,R35*I35*J35)</f>
        <v>18</v>
      </c>
      <c r="U35" s="227" t="n">
        <f aca="false">IF(ISERROR(R35*J35),0,R35*J35)</f>
        <v>3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IF(A35="new.cod","NEWCOD",IF(AND((Z35=""),ISTEXT(A35)),A35,IF(Z35="","",INDEX('[1]liste reference'!$A$8:$A$904,Z35))))</f>
        <v>NAJMIN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383</v>
      </c>
      <c r="AA35" s="220"/>
      <c r="AB35" s="221"/>
      <c r="AC35" s="221"/>
      <c r="BB35" s="10" t="n">
        <f aca="false">IF(A35="","",1)</f>
        <v>1</v>
      </c>
    </row>
    <row r="36" customFormat="false" ht="12.75" hidden="false" customHeight="false" outlineLevel="0" collapsed="false">
      <c r="A36" s="222" t="s">
        <v>89</v>
      </c>
      <c r="B36" s="204" t="n">
        <v>0</v>
      </c>
      <c r="C36" s="223" t="n">
        <v>30.3823529411765</v>
      </c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Nuphar lutea</v>
      </c>
      <c r="E36" s="224" t="e">
        <f aca="false">IF(D36="",0,VLOOKUP(D36,D$22:D35,1,0))</f>
        <v>#N/A</v>
      </c>
      <c r="F36" s="229" t="n">
        <f aca="false">($B36*$B$7+$C36*$C$7)/100</f>
        <v>30.3823529411765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PHy</v>
      </c>
      <c r="H36" s="209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7</v>
      </c>
      <c r="I36" s="210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9</v>
      </c>
      <c r="J36" s="210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1</v>
      </c>
      <c r="K36" s="211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Nuphar lutea</v>
      </c>
      <c r="L36" s="226"/>
      <c r="M36" s="226"/>
      <c r="N36" s="226"/>
      <c r="O36" s="213"/>
      <c r="P36" s="214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1839</v>
      </c>
      <c r="Q36" s="215" t="n">
        <f aca="false">IF(ISTEXT(H36),"",(B36*$B$7/100)+(C36*$C$7/100))</f>
        <v>30.3823529411765</v>
      </c>
      <c r="R36" s="216" t="n">
        <f aca="false">IF(OR(ISTEXT(H36),Q36=0),"",IF(Q36&lt;0.1,1,IF(Q36&lt;1,2,IF(Q36&lt;10,3,IF(Q36&lt;50,4,IF(Q36&gt;=50,5,""))))))</f>
        <v>4</v>
      </c>
      <c r="S36" s="216" t="n">
        <f aca="false">IF(ISERROR(R36*I36),0,R36*I36)</f>
        <v>36</v>
      </c>
      <c r="T36" s="216" t="n">
        <f aca="false">IF(ISERROR(R36*I36*J36),0,R36*I36*J36)</f>
        <v>36</v>
      </c>
      <c r="U36" s="227" t="n">
        <f aca="false">IF(ISERROR(R36*J36),0,R36*J36)</f>
        <v>4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IF(A36="new.cod","NEWCOD",IF(AND((Z36=""),ISTEXT(A36)),A36,IF(Z36="","",INDEX('[1]liste reference'!$A$8:$A$904,Z36))))</f>
        <v>NUPLUT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389</v>
      </c>
      <c r="AA36" s="220"/>
      <c r="AB36" s="221"/>
      <c r="AC36" s="221"/>
      <c r="BB36" s="10" t="n">
        <f aca="false">IF(A36="","",1)</f>
        <v>1</v>
      </c>
    </row>
    <row r="37" customFormat="false" ht="12.75" hidden="false" customHeight="false" outlineLevel="0" collapsed="false">
      <c r="A37" s="222" t="s">
        <v>90</v>
      </c>
      <c r="B37" s="204" t="n">
        <v>0</v>
      </c>
      <c r="C37" s="223" t="n">
        <v>0.0397058823529412</v>
      </c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Potamogeton lucens</v>
      </c>
      <c r="E37" s="224" t="e">
        <f aca="false">IF(D37="",0,VLOOKUP(D37,D$22:D36,1,0))</f>
        <v>#N/A</v>
      </c>
      <c r="F37" s="229" t="n">
        <f aca="false">($B37*$B$7+$C37*$C$7)/100</f>
        <v>0.0397058823529412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PHy</v>
      </c>
      <c r="H37" s="209" t="n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7</v>
      </c>
      <c r="I37" s="210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7</v>
      </c>
      <c r="J37" s="210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3</v>
      </c>
      <c r="K37" s="211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Potamogeton lucens</v>
      </c>
      <c r="L37" s="226"/>
      <c r="M37" s="226"/>
      <c r="N37" s="226"/>
      <c r="O37" s="213"/>
      <c r="P37" s="214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1649</v>
      </c>
      <c r="Q37" s="215" t="n">
        <f aca="false">IF(ISTEXT(H37),"",(B37*$B$7/100)+(C37*$C$7/100))</f>
        <v>0.0397058823529412</v>
      </c>
      <c r="R37" s="216" t="n">
        <f aca="false">IF(OR(ISTEXT(H37),Q37=0),"",IF(Q37&lt;0.1,1,IF(Q37&lt;1,2,IF(Q37&lt;10,3,IF(Q37&lt;50,4,IF(Q37&gt;=50,5,""))))))</f>
        <v>1</v>
      </c>
      <c r="S37" s="216" t="n">
        <f aca="false">IF(ISERROR(R37*I37),0,R37*I37)</f>
        <v>7</v>
      </c>
      <c r="T37" s="216" t="n">
        <f aca="false">IF(ISERROR(R37*I37*J37),0,R37*I37*J37)</f>
        <v>21</v>
      </c>
      <c r="U37" s="227" t="n">
        <f aca="false">IF(ISERROR(R37*J37),0,R37*J37)</f>
        <v>3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IF(A37="new.cod","NEWCOD",IF(AND((Z37=""),ISTEXT(A37)),A37,IF(Z37="","",INDEX('[1]liste reference'!$A$8:$A$904,Z37))))</f>
        <v>POTLUC</v>
      </c>
      <c r="Z37" s="10" t="n">
        <f aca="false">IF(ISERROR(MATCH(A37,'[1]liste reference'!$A$8:$A$904,0)),IF(ISERROR(MATCH(A37,'[1]liste reference'!$B$8:$B$904,0)),"",(MATCH(A37,'[1]liste reference'!$B$8:$B$904,0))),(MATCH(A37,'[1]liste reference'!$A$8:$A$904,0)))</f>
        <v>415</v>
      </c>
      <c r="AA37" s="220"/>
      <c r="AB37" s="221"/>
      <c r="AC37" s="221"/>
      <c r="BB37" s="10" t="n">
        <f aca="false">IF(A37="","",1)</f>
        <v>1</v>
      </c>
    </row>
    <row r="38" customFormat="false" ht="12.75" hidden="false" customHeight="false" outlineLevel="0" collapsed="false">
      <c r="A38" s="222" t="s">
        <v>91</v>
      </c>
      <c r="B38" s="204" t="n">
        <v>0</v>
      </c>
      <c r="C38" s="223" t="n">
        <v>0.0046</v>
      </c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Potamogeton nodosus</v>
      </c>
      <c r="E38" s="224" t="e">
        <f aca="false">IF(D38="",0,VLOOKUP(D38,D$22:D37,1,0))</f>
        <v>#N/A</v>
      </c>
      <c r="F38" s="229" t="n">
        <f aca="false">($B38*$B$7+$C38*$C$7)/100</f>
        <v>0.0046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PHy</v>
      </c>
      <c r="H38" s="209" t="n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7</v>
      </c>
      <c r="I38" s="210" t="n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>4</v>
      </c>
      <c r="J38" s="210" t="n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>3</v>
      </c>
      <c r="K38" s="211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Potamogeton nodosus</v>
      </c>
      <c r="L38" s="226"/>
      <c r="M38" s="226"/>
      <c r="N38" s="226"/>
      <c r="O38" s="213"/>
      <c r="P38" s="214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1652</v>
      </c>
      <c r="Q38" s="215" t="n">
        <f aca="false">IF(ISTEXT(H38),"",(B38*$B$7/100)+(C38*$C$7/100))</f>
        <v>0.0046</v>
      </c>
      <c r="R38" s="216" t="n">
        <f aca="false">IF(OR(ISTEXT(H38),Q38=0),"",IF(Q38&lt;0.1,1,IF(Q38&lt;1,2,IF(Q38&lt;10,3,IF(Q38&lt;50,4,IF(Q38&gt;=50,5,""))))))</f>
        <v>1</v>
      </c>
      <c r="S38" s="216" t="n">
        <f aca="false">IF(ISERROR(R38*I38),0,R38*I38)</f>
        <v>4</v>
      </c>
      <c r="T38" s="216" t="n">
        <f aca="false">IF(ISERROR(R38*I38*J38),0,R38*I38*J38)</f>
        <v>12</v>
      </c>
      <c r="U38" s="227" t="n">
        <f aca="false">IF(ISERROR(R38*J38),0,R38*J38)</f>
        <v>3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IF(A38="new.cod","NEWCOD",IF(AND((Z38=""),ISTEXT(A38)),A38,IF(Z38="","",INDEX('[1]liste reference'!$A$8:$A$904,Z38))))</f>
        <v>POTNOD</v>
      </c>
      <c r="Z38" s="10" t="n">
        <f aca="false">IF(ISERROR(MATCH(A38,'[1]liste reference'!$A$8:$A$904,0)),IF(ISERROR(MATCH(A38,'[1]liste reference'!$B$8:$B$904,0)),"",(MATCH(A38,'[1]liste reference'!$B$8:$B$904,0))),(MATCH(A38,'[1]liste reference'!$A$8:$A$904,0)))</f>
        <v>418</v>
      </c>
      <c r="AA38" s="220"/>
      <c r="AB38" s="221"/>
      <c r="AC38" s="221"/>
      <c r="BB38" s="10" t="n">
        <f aca="false">IF(A38="","",1)</f>
        <v>1</v>
      </c>
    </row>
    <row r="39" customFormat="false" ht="12.75" hidden="false" customHeight="false" outlineLevel="0" collapsed="false">
      <c r="A39" s="222" t="s">
        <v>92</v>
      </c>
      <c r="B39" s="204" t="n">
        <v>0</v>
      </c>
      <c r="C39" s="223" t="n">
        <v>0.0092</v>
      </c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Potamogeton pectinatus</v>
      </c>
      <c r="E39" s="224" t="e">
        <f aca="false">IF(D39="",0,VLOOKUP(D39,D$22:D38,1,0))</f>
        <v>#N/A</v>
      </c>
      <c r="F39" s="229" t="n">
        <f aca="false">($B39*$B$7+$C39*$C$7)/100</f>
        <v>0.0092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PHy</v>
      </c>
      <c r="H39" s="209" t="n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7</v>
      </c>
      <c r="I39" s="210" t="n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>2</v>
      </c>
      <c r="J39" s="210" t="n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>2</v>
      </c>
      <c r="K39" s="211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Potamogeton pectinatus</v>
      </c>
      <c r="L39" s="226"/>
      <c r="M39" s="226"/>
      <c r="N39" s="226"/>
      <c r="O39" s="213"/>
      <c r="P39" s="214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1655</v>
      </c>
      <c r="Q39" s="215" t="n">
        <f aca="false">IF(ISTEXT(H39),"",(B39*$B$7/100)+(C39*$C$7/100))</f>
        <v>0.0092</v>
      </c>
      <c r="R39" s="216" t="n">
        <f aca="false">IF(OR(ISTEXT(H39),Q39=0),"",IF(Q39&lt;0.1,1,IF(Q39&lt;1,2,IF(Q39&lt;10,3,IF(Q39&lt;50,4,IF(Q39&gt;=50,5,""))))))</f>
        <v>1</v>
      </c>
      <c r="S39" s="216" t="n">
        <f aca="false">IF(ISERROR(R39*I39),0,R39*I39)</f>
        <v>2</v>
      </c>
      <c r="T39" s="216" t="n">
        <f aca="false">IF(ISERROR(R39*I39*J39),0,R39*I39*J39)</f>
        <v>4</v>
      </c>
      <c r="U39" s="227" t="n">
        <f aca="false">IF(ISERROR(R39*J39),0,R39*J39)</f>
        <v>2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IF(A39="new.cod","NEWCOD",IF(AND((Z39=""),ISTEXT(A39)),A39,IF(Z39="","",INDEX('[1]liste reference'!$A$8:$A$904,Z39))))</f>
        <v>POTPEC</v>
      </c>
      <c r="Z39" s="10" t="n">
        <f aca="false">IF(ISERROR(MATCH(A39,'[1]liste reference'!$A$8:$A$904,0)),IF(ISERROR(MATCH(A39,'[1]liste reference'!$B$8:$B$904,0)),"",(MATCH(A39,'[1]liste reference'!$B$8:$B$904,0))),(MATCH(A39,'[1]liste reference'!$A$8:$A$904,0)))</f>
        <v>421</v>
      </c>
      <c r="AA39" s="220"/>
      <c r="AB39" s="221"/>
      <c r="AC39" s="221"/>
      <c r="BB39" s="10" t="n">
        <f aca="false">IF(A39="","",1)</f>
        <v>1</v>
      </c>
    </row>
    <row r="40" customFormat="false" ht="12.75" hidden="false" customHeight="false" outlineLevel="0" collapsed="false">
      <c r="A40" s="222" t="s">
        <v>93</v>
      </c>
      <c r="B40" s="204" t="n">
        <v>0</v>
      </c>
      <c r="C40" s="223" t="n">
        <v>0.247435294117647</v>
      </c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Potamogeton perfoliatus</v>
      </c>
      <c r="E40" s="224" t="e">
        <f aca="false">IF(D40="",0,VLOOKUP(D40,D$22:D39,1,0))</f>
        <v>#N/A</v>
      </c>
      <c r="F40" s="229" t="n">
        <f aca="false">($B40*$B$7+$C40*$C$7)/100</f>
        <v>0.247435294117647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PHy</v>
      </c>
      <c r="H40" s="209" t="n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7</v>
      </c>
      <c r="I40" s="210" t="n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>9</v>
      </c>
      <c r="J40" s="210" t="n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>2</v>
      </c>
      <c r="K40" s="211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Potamogeton perfoliatus</v>
      </c>
      <c r="L40" s="226"/>
      <c r="M40" s="226"/>
      <c r="N40" s="226"/>
      <c r="O40" s="213"/>
      <c r="P40" s="214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1656</v>
      </c>
      <c r="Q40" s="215" t="n">
        <f aca="false">IF(ISTEXT(H40),"",(B40*$B$7/100)+(C40*$C$7/100))</f>
        <v>0.247435294117647</v>
      </c>
      <c r="R40" s="216" t="n">
        <f aca="false">IF(OR(ISTEXT(H40),Q40=0),"",IF(Q40&lt;0.1,1,IF(Q40&lt;1,2,IF(Q40&lt;10,3,IF(Q40&lt;50,4,IF(Q40&gt;=50,5,""))))))</f>
        <v>2</v>
      </c>
      <c r="S40" s="216" t="n">
        <f aca="false">IF(ISERROR(R40*I40),0,R40*I40)</f>
        <v>18</v>
      </c>
      <c r="T40" s="216" t="n">
        <f aca="false">IF(ISERROR(R40*I40*J40),0,R40*I40*J40)</f>
        <v>36</v>
      </c>
      <c r="U40" s="227" t="n">
        <f aca="false">IF(ISERROR(R40*J40),0,R40*J40)</f>
        <v>4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IF(A40="new.cod","NEWCOD",IF(AND((Z40=""),ISTEXT(A40)),A40,IF(Z40="","",INDEX('[1]liste reference'!$A$8:$A$904,Z40))))</f>
        <v>POTPER</v>
      </c>
      <c r="Z40" s="10" t="n">
        <f aca="false">IF(ISERROR(MATCH(A40,'[1]liste reference'!$A$8:$A$904,0)),IF(ISERROR(MATCH(A40,'[1]liste reference'!$B$8:$B$904,0)),"",(MATCH(A40,'[1]liste reference'!$B$8:$B$904,0))),(MATCH(A40,'[1]liste reference'!$A$8:$A$904,0)))</f>
        <v>422</v>
      </c>
      <c r="AA40" s="220"/>
      <c r="AB40" s="221"/>
      <c r="AC40" s="221"/>
      <c r="BB40" s="10" t="n">
        <f aca="false">IF(A40="","",1)</f>
        <v>1</v>
      </c>
    </row>
    <row r="41" customFormat="false" ht="12.75" hidden="false" customHeight="false" outlineLevel="0" collapsed="false">
      <c r="A41" s="222" t="s">
        <v>94</v>
      </c>
      <c r="B41" s="204" t="n">
        <v>0</v>
      </c>
      <c r="C41" s="223" t="n">
        <v>1.97558823529412</v>
      </c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>Vallisneria spiralis</v>
      </c>
      <c r="E41" s="224" t="e">
        <f aca="false">IF(D41="",0,VLOOKUP(D41,D$22:D40,1,0))</f>
        <v>#N/A</v>
      </c>
      <c r="F41" s="229" t="n">
        <f aca="false">($B41*$B$7+$C41*$C$7)/100</f>
        <v>1.97558823529412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>PHy</v>
      </c>
      <c r="H41" s="209" t="n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7</v>
      </c>
      <c r="I41" s="210" t="n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>8</v>
      </c>
      <c r="J41" s="210" t="n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>2</v>
      </c>
      <c r="K41" s="211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>Vallisneria spiralis</v>
      </c>
      <c r="L41" s="226"/>
      <c r="M41" s="226"/>
      <c r="N41" s="226"/>
      <c r="O41" s="213"/>
      <c r="P41" s="214" t="n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>1598</v>
      </c>
      <c r="Q41" s="215" t="n">
        <f aca="false">IF(ISTEXT(H41),"",(B41*$B$7/100)+(C41*$C$7/100))</f>
        <v>1.97558823529412</v>
      </c>
      <c r="R41" s="216" t="n">
        <f aca="false">IF(OR(ISTEXT(H41),Q41=0),"",IF(Q41&lt;0.1,1,IF(Q41&lt;1,2,IF(Q41&lt;10,3,IF(Q41&lt;50,4,IF(Q41&gt;=50,5,""))))))</f>
        <v>3</v>
      </c>
      <c r="S41" s="216" t="n">
        <f aca="false">IF(ISERROR(R41*I41),0,R41*I41)</f>
        <v>24</v>
      </c>
      <c r="T41" s="216" t="n">
        <f aca="false">IF(ISERROR(R41*I41*J41),0,R41*I41*J41)</f>
        <v>48</v>
      </c>
      <c r="U41" s="227" t="n">
        <f aca="false">IF(ISERROR(R41*J41),0,R41*J41)</f>
        <v>6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IF(A41="new.cod","NEWCOD",IF(AND((Z41=""),ISTEXT(A41)),A41,IF(Z41="","",INDEX('[1]liste reference'!$A$8:$A$904,Z41))))</f>
        <v>VALSPI</v>
      </c>
      <c r="Z41" s="10" t="n">
        <f aca="false">IF(ISERROR(MATCH(A41,'[1]liste reference'!$A$8:$A$904,0)),IF(ISERROR(MATCH(A41,'[1]liste reference'!$B$8:$B$904,0)),"",(MATCH(A41,'[1]liste reference'!$B$8:$B$904,0))),(MATCH(A41,'[1]liste reference'!$A$8:$A$904,0)))</f>
        <v>498</v>
      </c>
      <c r="AA41" s="220"/>
      <c r="AB41" s="221"/>
      <c r="AC41" s="221"/>
      <c r="BB41" s="10" t="n">
        <f aca="false">IF(A41="","",1)</f>
        <v>1</v>
      </c>
    </row>
    <row r="42" customFormat="false" ht="12.75" hidden="false" customHeight="false" outlineLevel="0" collapsed="false">
      <c r="A42" s="222" t="s">
        <v>95</v>
      </c>
      <c r="B42" s="204" t="n">
        <v>0</v>
      </c>
      <c r="C42" s="223" t="n">
        <v>0.0046</v>
      </c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>Carex sp.</v>
      </c>
      <c r="E42" s="224" t="e">
        <f aca="false">IF(D42="",0,VLOOKUP(D42,D$22:D41,1,0))</f>
        <v>#N/A</v>
      </c>
      <c r="F42" s="229" t="n">
        <f aca="false">($B42*$B$7+$C42*$C$7)/100</f>
        <v>0.0046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>PHe</v>
      </c>
      <c r="H42" s="209" t="n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8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0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1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>Carex sp.</v>
      </c>
      <c r="L42" s="226"/>
      <c r="M42" s="226"/>
      <c r="N42" s="226"/>
      <c r="O42" s="213"/>
      <c r="P42" s="214" t="n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>1466</v>
      </c>
      <c r="Q42" s="215" t="n">
        <f aca="false">IF(ISTEXT(H42),"",(B42*$B$7/100)+(C42*$C$7/100))</f>
        <v>0.0046</v>
      </c>
      <c r="R42" s="216" t="n">
        <f aca="false">IF(OR(ISTEXT(H42),Q42=0),"",IF(Q42&lt;0.1,1,IF(Q42&lt;1,2,IF(Q42&lt;10,3,IF(Q42&lt;50,4,IF(Q42&gt;=50,5,""))))))</f>
        <v>1</v>
      </c>
      <c r="S42" s="216" t="n">
        <f aca="false">IF(ISERROR(R42*I42),0,R42*I42)</f>
        <v>0</v>
      </c>
      <c r="T42" s="216" t="n">
        <f aca="false">IF(ISERROR(R42*I42*J42),0,R42*I42*J42)</f>
        <v>0</v>
      </c>
      <c r="U42" s="227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IF(A42="new.cod","NEWCOD",IF(AND((Z42=""),ISTEXT(A42)),A42,IF(Z42="","",INDEX('[1]liste reference'!$A$8:$A$904,Z42))))</f>
        <v>CARSPX</v>
      </c>
      <c r="Z42" s="10" t="n">
        <f aca="false">IF(ISERROR(MATCH(A42,'[1]liste reference'!$A$8:$A$904,0)),IF(ISERROR(MATCH(A42,'[1]liste reference'!$B$8:$B$904,0)),"",(MATCH(A42,'[1]liste reference'!$B$8:$B$904,0))),(MATCH(A42,'[1]liste reference'!$A$8:$A$904,0)))</f>
        <v>545</v>
      </c>
      <c r="AA42" s="220"/>
      <c r="AB42" s="221"/>
      <c r="AC42" s="221"/>
      <c r="BB42" s="10" t="n">
        <f aca="false">IF(A42="","",1)</f>
        <v>1</v>
      </c>
    </row>
    <row r="43" customFormat="false" ht="12.75" hidden="false" customHeight="false" outlineLevel="0" collapsed="false">
      <c r="A43" s="222" t="s">
        <v>96</v>
      </c>
      <c r="B43" s="204" t="n">
        <v>0</v>
      </c>
      <c r="C43" s="223" t="n">
        <v>0.0046</v>
      </c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>Iris pseudacorus</v>
      </c>
      <c r="E43" s="224" t="e">
        <f aca="false">IF(D43="",0,VLOOKUP(D43,D$22:D42,1,0))</f>
        <v>#N/A</v>
      </c>
      <c r="F43" s="229" t="n">
        <f aca="false">($B43*$B$7+$C43*$C$7)/100</f>
        <v>0.0046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>PHe</v>
      </c>
      <c r="H43" s="209" t="n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8</v>
      </c>
      <c r="I43" s="210" t="n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>10</v>
      </c>
      <c r="J43" s="210" t="n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>1</v>
      </c>
      <c r="K43" s="211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>Iris pseudacorus</v>
      </c>
      <c r="L43" s="226"/>
      <c r="M43" s="226"/>
      <c r="N43" s="226"/>
      <c r="O43" s="213"/>
      <c r="P43" s="214" t="n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>1601</v>
      </c>
      <c r="Q43" s="215" t="n">
        <f aca="false">IF(ISTEXT(H43),"",(B43*$B$7/100)+(C43*$C$7/100))</f>
        <v>0.0046</v>
      </c>
      <c r="R43" s="216" t="n">
        <f aca="false">IF(OR(ISTEXT(H43),Q43=0),"",IF(Q43&lt;0.1,1,IF(Q43&lt;1,2,IF(Q43&lt;10,3,IF(Q43&lt;50,4,IF(Q43&gt;=50,5,""))))))</f>
        <v>1</v>
      </c>
      <c r="S43" s="216" t="n">
        <f aca="false">IF(ISERROR(R43*I43),0,R43*I43)</f>
        <v>10</v>
      </c>
      <c r="T43" s="216" t="n">
        <f aca="false">IF(ISERROR(R43*I43*J43),0,R43*I43*J43)</f>
        <v>10</v>
      </c>
      <c r="U43" s="227" t="n">
        <f aca="false">IF(ISERROR(R43*J43),0,R43*J43)</f>
        <v>1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IF(A43="new.cod","NEWCOD",IF(AND((Z43=""),ISTEXT(A43)),A43,IF(Z43="","",INDEX('[1]liste reference'!$A$8:$A$904,Z43))))</f>
        <v>IRIPSE</v>
      </c>
      <c r="Z43" s="10" t="n">
        <f aca="false">IF(ISERROR(MATCH(A43,'[1]liste reference'!$A$8:$A$904,0)),IF(ISERROR(MATCH(A43,'[1]liste reference'!$B$8:$B$904,0)),"",(MATCH(A43,'[1]liste reference'!$B$8:$B$904,0))),(MATCH(A43,'[1]liste reference'!$A$8:$A$904,0)))</f>
        <v>582</v>
      </c>
      <c r="AA43" s="220"/>
      <c r="AB43" s="221"/>
      <c r="AC43" s="221"/>
      <c r="BB43" s="10" t="n">
        <f aca="false">IF(A43="","",1)</f>
        <v>1</v>
      </c>
    </row>
    <row r="44" customFormat="false" ht="12.75" hidden="false" customHeight="false" outlineLevel="0" collapsed="false">
      <c r="A44" s="222" t="s">
        <v>97</v>
      </c>
      <c r="B44" s="204" t="n">
        <v>0</v>
      </c>
      <c r="C44" s="223" t="n">
        <v>0.0046</v>
      </c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>Lysimachia vulgaris</v>
      </c>
      <c r="E44" s="224" t="e">
        <f aca="false">IF(D44="",0,VLOOKUP(D44,D$22:D43,1,0))</f>
        <v>#N/A</v>
      </c>
      <c r="F44" s="229" t="n">
        <f aca="false">($B44*$B$7+$C44*$C$7)/100</f>
        <v>0.0046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>PHe</v>
      </c>
      <c r="H44" s="209" t="n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8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0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1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>Lysimachia vulgaris</v>
      </c>
      <c r="L44" s="226"/>
      <c r="M44" s="226"/>
      <c r="N44" s="226"/>
      <c r="O44" s="213"/>
      <c r="P44" s="214" t="n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>1887</v>
      </c>
      <c r="Q44" s="215" t="n">
        <f aca="false">IF(ISTEXT(H44),"",(B44*$B$7/100)+(C44*$C$7/100))</f>
        <v>0.0046</v>
      </c>
      <c r="R44" s="216" t="n">
        <f aca="false">IF(OR(ISTEXT(H44),Q44=0),"",IF(Q44&lt;0.1,1,IF(Q44&lt;1,2,IF(Q44&lt;10,3,IF(Q44&lt;50,4,IF(Q44&gt;=50,5,""))))))</f>
        <v>1</v>
      </c>
      <c r="S44" s="216" t="n">
        <f aca="false">IF(ISERROR(R44*I44),0,R44*I44)</f>
        <v>0</v>
      </c>
      <c r="T44" s="216" t="n">
        <f aca="false">IF(ISERROR(R44*I44*J44),0,R44*I44*J44)</f>
        <v>0</v>
      </c>
      <c r="U44" s="227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IF(A44="new.cod","NEWCOD",IF(AND((Z44=""),ISTEXT(A44)),A44,IF(Z44="","",INDEX('[1]liste reference'!$A$8:$A$904,Z44))))</f>
        <v>LYSVUL</v>
      </c>
      <c r="Z44" s="10" t="n">
        <f aca="false">IF(ISERROR(MATCH(A44,'[1]liste reference'!$A$8:$A$904,0)),IF(ISERROR(MATCH(A44,'[1]liste reference'!$B$8:$B$904,0)),"",(MATCH(A44,'[1]liste reference'!$B$8:$B$904,0))),(MATCH(A44,'[1]liste reference'!$A$8:$A$904,0)))</f>
        <v>601</v>
      </c>
      <c r="AA44" s="220"/>
      <c r="AB44" s="221"/>
      <c r="AC44" s="221"/>
      <c r="BB44" s="10" t="n">
        <f aca="false">IF(A44="","",1)</f>
        <v>1</v>
      </c>
    </row>
    <row r="45" customFormat="false" ht="12.75" hidden="false" customHeight="false" outlineLevel="0" collapsed="false">
      <c r="A45" s="222" t="s">
        <v>98</v>
      </c>
      <c r="B45" s="204" t="n">
        <v>0</v>
      </c>
      <c r="C45" s="223" t="n">
        <v>0.0046</v>
      </c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>Lythrum salicaria</v>
      </c>
      <c r="E45" s="224" t="e">
        <f aca="false">IF(D45="",0,VLOOKUP(D45,D$22:D44,1,0))</f>
        <v>#N/A</v>
      </c>
      <c r="F45" s="229" t="n">
        <f aca="false">($B45*$B$7+$C45*$C$7)/100</f>
        <v>0.0046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>PHe</v>
      </c>
      <c r="H45" s="209" t="n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8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0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1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>Lythrum salicaria</v>
      </c>
      <c r="L45" s="226"/>
      <c r="M45" s="226"/>
      <c r="N45" s="226"/>
      <c r="O45" s="213"/>
      <c r="P45" s="214" t="n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>1823</v>
      </c>
      <c r="Q45" s="215" t="n">
        <f aca="false">IF(ISTEXT(H45),"",(B45*$B$7/100)+(C45*$C$7/100))</f>
        <v>0.0046</v>
      </c>
      <c r="R45" s="216" t="n">
        <f aca="false">IF(OR(ISTEXT(H45),Q45=0),"",IF(Q45&lt;0.1,1,IF(Q45&lt;1,2,IF(Q45&lt;10,3,IF(Q45&lt;50,4,IF(Q45&gt;=50,5,""))))))</f>
        <v>1</v>
      </c>
      <c r="S45" s="216" t="n">
        <f aca="false">IF(ISERROR(R45*I45),0,R45*I45)</f>
        <v>0</v>
      </c>
      <c r="T45" s="216" t="n">
        <f aca="false">IF(ISERROR(R45*I45*J45),0,R45*I45*J45)</f>
        <v>0</v>
      </c>
      <c r="U45" s="227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IF(A45="new.cod","NEWCOD",IF(AND((Z45=""),ISTEXT(A45)),A45,IF(Z45="","",INDEX('[1]liste reference'!$A$8:$A$904,Z45))))</f>
        <v>LYTSAL</v>
      </c>
      <c r="Z45" s="10" t="n">
        <f aca="false">IF(ISERROR(MATCH(A45,'[1]liste reference'!$A$8:$A$904,0)),IF(ISERROR(MATCH(A45,'[1]liste reference'!$B$8:$B$904,0)),"",(MATCH(A45,'[1]liste reference'!$B$8:$B$904,0))),(MATCH(A45,'[1]liste reference'!$A$8:$A$904,0)))</f>
        <v>605</v>
      </c>
      <c r="AA45" s="220"/>
      <c r="AB45" s="221"/>
      <c r="AC45" s="221"/>
      <c r="BB45" s="10" t="n">
        <f aca="false">IF(A45="","",1)</f>
        <v>1</v>
      </c>
    </row>
    <row r="46" customFormat="false" ht="12.75" hidden="false" customHeight="false" outlineLevel="0" collapsed="false">
      <c r="A46" s="222" t="s">
        <v>99</v>
      </c>
      <c r="B46" s="204" t="n">
        <v>0</v>
      </c>
      <c r="C46" s="223" t="n">
        <v>0.0046</v>
      </c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>Phalaris arundinacea</v>
      </c>
      <c r="E46" s="224" t="e">
        <f aca="false">IF(D46="",0,VLOOKUP(D46,D$22:D39,1,0))</f>
        <v>#N/A</v>
      </c>
      <c r="F46" s="229" t="n">
        <f aca="false">($B46*$B$7+$C46*$C$7)/100</f>
        <v>0.0046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>PHe</v>
      </c>
      <c r="H46" s="209" t="n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8</v>
      </c>
      <c r="I46" s="210" t="n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>10</v>
      </c>
      <c r="J46" s="210" t="n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>1</v>
      </c>
      <c r="K46" s="211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>Phalaris arundinacea</v>
      </c>
      <c r="L46" s="226"/>
      <c r="M46" s="226"/>
      <c r="N46" s="226"/>
      <c r="O46" s="213"/>
      <c r="P46" s="214" t="n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>1577</v>
      </c>
      <c r="Q46" s="215" t="n">
        <f aca="false">IF(ISTEXT(H46),"",(B46*$B$7/100)+(C46*$C$7/100))</f>
        <v>0.0046</v>
      </c>
      <c r="R46" s="216" t="n">
        <f aca="false">IF(OR(ISTEXT(H46),Q46=0),"",IF(Q46&lt;0.1,1,IF(Q46&lt;1,2,IF(Q46&lt;10,3,IF(Q46&lt;50,4,IF(Q46&gt;=50,5,""))))))</f>
        <v>1</v>
      </c>
      <c r="S46" s="216" t="n">
        <f aca="false">IF(ISERROR(R46*I46),0,R46*I46)</f>
        <v>10</v>
      </c>
      <c r="T46" s="216" t="n">
        <f aca="false">IF(ISERROR(R46*I46*J46),0,R46*I46*J46)</f>
        <v>10</v>
      </c>
      <c r="U46" s="227" t="n">
        <f aca="false">IF(ISERROR(R46*J46),0,R46*J46)</f>
        <v>1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IF(A46="new.cod","NEWCOD",IF(AND((Z46=""),ISTEXT(A46)),A46,IF(Z46="","",INDEX('[1]liste reference'!$A$8:$A$904,Z46))))</f>
        <v>PHAARU</v>
      </c>
      <c r="Z46" s="10" t="n">
        <f aca="false">IF(ISERROR(MATCH(A46,'[1]liste reference'!$A$8:$A$904,0)),IF(ISERROR(MATCH(A46,'[1]liste reference'!$B$8:$B$904,0)),"",(MATCH(A46,'[1]liste reference'!$B$8:$B$904,0))),(MATCH(A46,'[1]liste reference'!$A$8:$A$904,0)))</f>
        <v>634</v>
      </c>
      <c r="AA46" s="220"/>
      <c r="AB46" s="221"/>
      <c r="AC46" s="221"/>
      <c r="BB46" s="10" t="n">
        <f aca="false">IF(A46="","",1)</f>
        <v>1</v>
      </c>
    </row>
    <row r="47" customFormat="false" ht="12.75" hidden="false" customHeight="false" outlineLevel="0" collapsed="false">
      <c r="A47" s="222" t="s">
        <v>100</v>
      </c>
      <c r="B47" s="204" t="n">
        <v>0</v>
      </c>
      <c r="C47" s="223" t="n">
        <v>0.0046</v>
      </c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4" t="n">
        <f aca="false">IF(D47="",0,VLOOKUP(D47,D$22:D39,1,0))</f>
        <v>0</v>
      </c>
      <c r="F47" s="229" t="n">
        <f aca="false">($B47*$B$7+$C47*$C$7)/100</f>
        <v>0.0046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>    -</v>
      </c>
      <c r="H47" s="209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0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1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>Salix alba</v>
      </c>
      <c r="L47" s="226"/>
      <c r="M47" s="226"/>
      <c r="N47" s="226"/>
      <c r="O47" s="213"/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>No</v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7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IF(A47="new.cod","NEWCOD",IF(AND((Z47=""),ISTEXT(A47)),A47,IF(Z47="","",INDEX('[1]liste reference'!$A$8:$A$904,Z47))))</f>
        <v>newcod</v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0"/>
      <c r="AB47" s="221" t="s">
        <v>101</v>
      </c>
      <c r="AC47" s="221"/>
      <c r="BB47" s="10" t="n">
        <f aca="false">IF(A47="","",1)</f>
        <v>1</v>
      </c>
    </row>
    <row r="48" customFormat="false" ht="12.75" hidden="false" customHeight="false" outlineLevel="0" collapsed="false">
      <c r="A48" s="222" t="s">
        <v>100</v>
      </c>
      <c r="B48" s="230"/>
      <c r="C48" s="223" t="n">
        <v>0.0046</v>
      </c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4" t="n">
        <f aca="false">IF(D48="",0,VLOOKUP(D48,D$22:D40,1,0))</f>
        <v>0</v>
      </c>
      <c r="F48" s="229" t="n">
        <f aca="false">($B48*$B$7+$C48*$C$7)/100</f>
        <v>0.0046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>    -</v>
      </c>
      <c r="H48" s="209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0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1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>Salix cinerea</v>
      </c>
      <c r="L48" s="226"/>
      <c r="M48" s="226"/>
      <c r="N48" s="226"/>
      <c r="O48" s="213"/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>No</v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7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IF(A48="new.cod","NEWCOD",IF(AND((Z48=""),ISTEXT(A48)),A48,IF(Z48="","",INDEX('[1]liste reference'!$A$8:$A$904,Z48))))</f>
        <v>newcod</v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0"/>
      <c r="AB48" s="221" t="s">
        <v>102</v>
      </c>
      <c r="AC48" s="221"/>
      <c r="BB48" s="10" t="n">
        <f aca="false">IF(A48="","",1)</f>
        <v>1</v>
      </c>
    </row>
    <row r="49" customFormat="false" ht="12.75" hidden="false" customHeight="false" outlineLevel="0" collapsed="false">
      <c r="A49" s="222"/>
      <c r="B49" s="230"/>
      <c r="C49" s="223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4" t="n">
        <f aca="false">IF(D49="",0,VLOOKUP(D49,D$22:D48,1,0))</f>
        <v>0</v>
      </c>
      <c r="F49" s="229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0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1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6"/>
      <c r="M49" s="226"/>
      <c r="N49" s="226"/>
      <c r="O49" s="213"/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7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30"/>
      <c r="C50" s="223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4" t="n">
        <f aca="false">IF(D50="",0,VLOOKUP(D50,D$22:D49,1,0))</f>
        <v>0</v>
      </c>
      <c r="F50" s="229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0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1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6"/>
      <c r="M50" s="226"/>
      <c r="N50" s="226"/>
      <c r="O50" s="213"/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7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30"/>
      <c r="C51" s="223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4" t="n">
        <f aca="false">IF(D51="",0,VLOOKUP(D51,D$22:D50,1,0))</f>
        <v>0</v>
      </c>
      <c r="F51" s="229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0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1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6"/>
      <c r="M51" s="226"/>
      <c r="N51" s="226"/>
      <c r="O51" s="213"/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7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30"/>
      <c r="C52" s="223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4" t="n">
        <f aca="false">IF(D52="",0,VLOOKUP(D52,D$22:D51,1,0))</f>
        <v>0</v>
      </c>
      <c r="F52" s="229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0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1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6"/>
      <c r="M52" s="226"/>
      <c r="N52" s="226"/>
      <c r="O52" s="213"/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7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30"/>
      <c r="C53" s="223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4" t="n">
        <f aca="false">IF(D53="",0,VLOOKUP(D53,D$22:D52,1,0))</f>
        <v>0</v>
      </c>
      <c r="F53" s="229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0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1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6"/>
      <c r="M53" s="226"/>
      <c r="N53" s="226"/>
      <c r="O53" s="213"/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7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30"/>
      <c r="C54" s="223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4" t="n">
        <f aca="false">IF(D54="",0,VLOOKUP(D54,D$22:D53,1,0))</f>
        <v>0</v>
      </c>
      <c r="F54" s="229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0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1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6"/>
      <c r="M54" s="226"/>
      <c r="N54" s="226"/>
      <c r="O54" s="213"/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7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30"/>
      <c r="C55" s="223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4" t="n">
        <f aca="false">IF(D55="",0,VLOOKUP(D55,D$22:D54,1,0))</f>
        <v>0</v>
      </c>
      <c r="F55" s="229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0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1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6"/>
      <c r="M55" s="226"/>
      <c r="N55" s="226"/>
      <c r="O55" s="213"/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7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30"/>
      <c r="C56" s="223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4" t="n">
        <f aca="false">IF(D56="",0,VLOOKUP(D56,D$22:D55,1,0))</f>
        <v>0</v>
      </c>
      <c r="F56" s="229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0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1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6"/>
      <c r="M56" s="226"/>
      <c r="N56" s="226"/>
      <c r="O56" s="213"/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7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30"/>
      <c r="C57" s="223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4" t="n">
        <f aca="false">IF(D57="",0,VLOOKUP(D57,D$21:D56,1,0))</f>
        <v>0</v>
      </c>
      <c r="F57" s="229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0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1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6"/>
      <c r="M57" s="226"/>
      <c r="N57" s="226"/>
      <c r="O57" s="213"/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7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30"/>
      <c r="C58" s="223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4" t="n">
        <f aca="false">IF(D58="",0,VLOOKUP(D58,D$22:D57,1,0))</f>
        <v>0</v>
      </c>
      <c r="F58" s="229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0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1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6"/>
      <c r="M58" s="226"/>
      <c r="N58" s="226"/>
      <c r="O58" s="213"/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7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30"/>
      <c r="C59" s="223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4" t="n">
        <f aca="false">IF(D59="",0,VLOOKUP(D59,D$22:D58,1,0))</f>
        <v>0</v>
      </c>
      <c r="F59" s="229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0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1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7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30"/>
      <c r="C60" s="223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4" t="n">
        <f aca="false">IF(D60="",0,VLOOKUP(D60,D$22:D59,1,0))</f>
        <v>0</v>
      </c>
      <c r="F60" s="229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0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1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7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30"/>
      <c r="C61" s="223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4" t="n">
        <f aca="false">IF(D61="",0,VLOOKUP(D61,D$22:D60,1,0))</f>
        <v>0</v>
      </c>
      <c r="F61" s="229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0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1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6"/>
      <c r="M61" s="226"/>
      <c r="N61" s="226"/>
      <c r="O61" s="213"/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7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30"/>
      <c r="C62" s="223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4" t="n">
        <f aca="false">IF(D62="",0,VLOOKUP(D62,D$22:D61,1,0))</f>
        <v>0</v>
      </c>
      <c r="F62" s="229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0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1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6"/>
      <c r="M62" s="226"/>
      <c r="N62" s="226"/>
      <c r="O62" s="213"/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7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30"/>
      <c r="C63" s="223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4" t="n">
        <f aca="false">IF(D63="",0,VLOOKUP(D63,D$22:D62,1,0))</f>
        <v>0</v>
      </c>
      <c r="F63" s="229" t="n">
        <f aca="false">($B63*$B$7+$C63*$C$7)/100</f>
        <v>0</v>
      </c>
      <c r="G63" s="234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5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0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1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6"/>
      <c r="M63" s="226"/>
      <c r="N63" s="226"/>
      <c r="O63" s="213"/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7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30"/>
      <c r="C64" s="223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4" t="n">
        <f aca="false">IF(D64="",0,VLOOKUP(D64,D$22:D52,1,0))</f>
        <v>0</v>
      </c>
      <c r="F64" s="229" t="n">
        <f aca="false">($B64*$B$7+$C64*$C$7)/100</f>
        <v>0</v>
      </c>
      <c r="G64" s="236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7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0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1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6"/>
      <c r="M64" s="226"/>
      <c r="N64" s="226"/>
      <c r="O64" s="213"/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7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30"/>
      <c r="C65" s="223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4" t="n">
        <f aca="false">IF(D65="",0,VLOOKUP(D65,D$22:D53,1,0))</f>
        <v>0</v>
      </c>
      <c r="F65" s="229" t="n">
        <f aca="false">($B65*$B$7+$C65*$C$7)/100</f>
        <v>0</v>
      </c>
      <c r="G65" s="236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7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0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1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6"/>
      <c r="M65" s="226"/>
      <c r="N65" s="226"/>
      <c r="O65" s="213"/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7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30"/>
      <c r="C66" s="223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4" t="n">
        <f aca="false">IF(D66="",0,VLOOKUP(D66,D$22:D51,1,0))</f>
        <v>0</v>
      </c>
      <c r="F66" s="229" t="n">
        <f aca="false">($B66*$B$7+$C66*$C$7)/100</f>
        <v>0</v>
      </c>
      <c r="G66" s="236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7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0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1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6"/>
      <c r="M66" s="226"/>
      <c r="N66" s="226"/>
      <c r="O66" s="213"/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7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30"/>
      <c r="C67" s="223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4" t="n">
        <f aca="false">IF(D67="",0,VLOOKUP(D67,D$22:D52,1,0))</f>
        <v>0</v>
      </c>
      <c r="F67" s="229" t="n">
        <f aca="false">($B67*$B$7+$C67*$C$7)/100</f>
        <v>0</v>
      </c>
      <c r="G67" s="236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7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0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1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6"/>
      <c r="M67" s="226"/>
      <c r="N67" s="226"/>
      <c r="O67" s="213"/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7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30"/>
      <c r="C68" s="223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4" t="n">
        <f aca="false">IF(D68="",0,VLOOKUP(D68,D$22:D53,1,0))</f>
        <v>0</v>
      </c>
      <c r="F68" s="229" t="n">
        <f aca="false">($B68*$B$7+$C68*$C$7)/100</f>
        <v>0</v>
      </c>
      <c r="G68" s="236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7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0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1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6"/>
      <c r="M68" s="226"/>
      <c r="N68" s="226"/>
      <c r="O68" s="213"/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7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30"/>
      <c r="C69" s="223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4" t="n">
        <f aca="false">IF(D69="",0,VLOOKUP(D69,D$22:D54,1,0))</f>
        <v>0</v>
      </c>
      <c r="F69" s="229" t="n">
        <f aca="false">($B69*$B$7+$C69*$C$7)/100</f>
        <v>0</v>
      </c>
      <c r="G69" s="236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7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0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1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6"/>
      <c r="M69" s="226"/>
      <c r="N69" s="226"/>
      <c r="O69" s="213"/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7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30"/>
      <c r="C70" s="223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4" t="n">
        <f aca="false">IF(D70="",0,VLOOKUP(D70,D$22:D55,1,0))</f>
        <v>0</v>
      </c>
      <c r="F70" s="229" t="n">
        <f aca="false">($B70*$B$7+$C70*$C$7)/100</f>
        <v>0</v>
      </c>
      <c r="G70" s="236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7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0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1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6"/>
      <c r="M70" s="226"/>
      <c r="N70" s="226"/>
      <c r="O70" s="213"/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7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30"/>
      <c r="C71" s="223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4" t="n">
        <f aca="false">IF(D71="",0,VLOOKUP(D71,D$22:D56,1,0))</f>
        <v>0</v>
      </c>
      <c r="F71" s="229" t="n">
        <f aca="false">($B71*$B$7+$C71*$C$7)/100</f>
        <v>0</v>
      </c>
      <c r="G71" s="236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7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0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1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6"/>
      <c r="M71" s="226"/>
      <c r="N71" s="226"/>
      <c r="O71" s="213"/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7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30"/>
      <c r="C72" s="223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4" t="n">
        <f aca="false">IF(D72="",0,VLOOKUP(D72,D$22:D57,1,0))</f>
        <v>0</v>
      </c>
      <c r="F72" s="229" t="n">
        <f aca="false">($B72*$B$7+$C72*$C$7)/100</f>
        <v>0</v>
      </c>
      <c r="G72" s="236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7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0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1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6"/>
      <c r="M72" s="226"/>
      <c r="N72" s="226"/>
      <c r="O72" s="213"/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7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30"/>
      <c r="C73" s="223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4" t="n">
        <f aca="false">IF(D73="",0,VLOOKUP(D73,D$22:D57,1,0))</f>
        <v>0</v>
      </c>
      <c r="F73" s="229" t="n">
        <f aca="false">($B73*$B$7+$C73*$C$7)/100</f>
        <v>0</v>
      </c>
      <c r="G73" s="236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7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0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1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6"/>
      <c r="M73" s="226"/>
      <c r="N73" s="226"/>
      <c r="O73" s="213"/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7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30"/>
      <c r="C74" s="223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4" t="n">
        <f aca="false">IF(D74="",0,VLOOKUP(D74,D$22:D58,1,0))</f>
        <v>0</v>
      </c>
      <c r="F74" s="229" t="n">
        <f aca="false">($B74*$B$7+$C74*$C$7)/100</f>
        <v>0</v>
      </c>
      <c r="G74" s="236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7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0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1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6"/>
      <c r="M74" s="226"/>
      <c r="N74" s="226"/>
      <c r="O74" s="213"/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7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30"/>
      <c r="C75" s="223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4" t="n">
        <f aca="false">IF(D75="",0,VLOOKUP(D75,D$22:D59,1,0))</f>
        <v>0</v>
      </c>
      <c r="F75" s="229" t="n">
        <f aca="false">($B75*$B$7+$C75*$C$7)/100</f>
        <v>0</v>
      </c>
      <c r="G75" s="236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7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0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1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6"/>
      <c r="M75" s="226"/>
      <c r="N75" s="226"/>
      <c r="O75" s="213"/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7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30"/>
      <c r="C76" s="223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4" t="n">
        <f aca="false">IF(D76="",0,VLOOKUP(D76,D$22:D59,1,0))</f>
        <v>0</v>
      </c>
      <c r="F76" s="229" t="n">
        <f aca="false">($B76*$B$7+$C76*$C$7)/100</f>
        <v>0</v>
      </c>
      <c r="G76" s="236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7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0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1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6"/>
      <c r="M76" s="226"/>
      <c r="N76" s="226"/>
      <c r="O76" s="213"/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7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30"/>
      <c r="C77" s="223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4" t="n">
        <f aca="false">IF(D77="",0,VLOOKUP(D77,D$22:D75,1,0))</f>
        <v>0</v>
      </c>
      <c r="F77" s="229" t="n">
        <f aca="false">($B77*$B$7+$C77*$C$7)/100</f>
        <v>0</v>
      </c>
      <c r="G77" s="236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7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0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1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6"/>
      <c r="M77" s="226"/>
      <c r="N77" s="226"/>
      <c r="O77" s="213"/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7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30"/>
      <c r="C78" s="223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4" t="n">
        <f aca="false">IF(D78="",0,VLOOKUP(D78,D$22:D75,1,0))</f>
        <v>0</v>
      </c>
      <c r="F78" s="229" t="n">
        <f aca="false">($B78*$B$7+$C78*$C$7)/100</f>
        <v>0</v>
      </c>
      <c r="G78" s="236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7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0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1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6"/>
      <c r="M78" s="226"/>
      <c r="N78" s="226"/>
      <c r="O78" s="213"/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7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30"/>
      <c r="C79" s="223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4" t="n">
        <f aca="false">IF(D79="",0,VLOOKUP(D79,D$22:D75,1,0))</f>
        <v>0</v>
      </c>
      <c r="F79" s="229" t="n">
        <f aca="false">($B79*$B$7+$C79*$C$7)/100</f>
        <v>0</v>
      </c>
      <c r="G79" s="236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7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0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1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6"/>
      <c r="M79" s="226"/>
      <c r="N79" s="226"/>
      <c r="O79" s="213"/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7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30"/>
      <c r="C80" s="223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4" t="n">
        <f aca="false">IF(D80="",0,VLOOKUP(D80,D$22:D79,1,0))</f>
        <v>0</v>
      </c>
      <c r="F80" s="229" t="n">
        <f aca="false">($B80*$B$7+$C80*$C$7)/100</f>
        <v>0</v>
      </c>
      <c r="G80" s="236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7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0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1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6"/>
      <c r="M80" s="226"/>
      <c r="N80" s="226"/>
      <c r="O80" s="213"/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7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30"/>
      <c r="C81" s="223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4" t="n">
        <f aca="false">IF(D81="",0,VLOOKUP(D81,D$21:D80,1,0))</f>
        <v>0</v>
      </c>
      <c r="F81" s="229" t="n">
        <f aca="false">($B81*$B$7+$C81*$C$7)/100</f>
        <v>0</v>
      </c>
      <c r="G81" s="236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7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0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1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7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6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0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0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7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7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103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Saône</v>
      </c>
      <c r="B84" s="258" t="str">
        <f aca="false">C3</f>
        <v>Saône à St Symphorien</v>
      </c>
      <c r="C84" s="259" t="n">
        <f aca="false">A4</f>
        <v>41521</v>
      </c>
      <c r="D84" s="260" t="n">
        <f aca="false">IF(ISERROR(SUM($T$23:$T$82)/SUM($U$23:$U$82)),"",SUM($T$23:$T$82)/SUM($U$23:$U$82))</f>
        <v>7.91176470588235</v>
      </c>
      <c r="E84" s="261" t="n">
        <f aca="false">N13</f>
        <v>26</v>
      </c>
      <c r="F84" s="258" t="n">
        <f aca="false">N14</f>
        <v>21</v>
      </c>
      <c r="G84" s="258" t="n">
        <f aca="false">N15</f>
        <v>6</v>
      </c>
      <c r="H84" s="258" t="n">
        <f aca="false">N16</f>
        <v>10</v>
      </c>
      <c r="I84" s="258" t="n">
        <f aca="false">N17</f>
        <v>5</v>
      </c>
      <c r="J84" s="262" t="n">
        <f aca="false">N8</f>
        <v>7.90476190476191</v>
      </c>
      <c r="K84" s="260" t="n">
        <f aca="false">N9</f>
        <v>3.09999634262091</v>
      </c>
      <c r="L84" s="261" t="n">
        <f aca="false">N10</f>
        <v>2</v>
      </c>
      <c r="M84" s="261" t="n">
        <f aca="false">N11</f>
        <v>13</v>
      </c>
      <c r="N84" s="260" t="n">
        <f aca="false">O8</f>
        <v>1.95238095238095</v>
      </c>
      <c r="O84" s="260" t="n">
        <f aca="false">O9</f>
        <v>0.722178613719195</v>
      </c>
      <c r="P84" s="261" t="n">
        <f aca="false">O10</f>
        <v>1</v>
      </c>
      <c r="Q84" s="261" t="n">
        <f aca="false">O11</f>
        <v>3</v>
      </c>
      <c r="R84" s="261" t="n">
        <f aca="false">F21</f>
        <v>42.1188223529412</v>
      </c>
      <c r="S84" s="261" t="n">
        <f aca="false">K11</f>
        <v>0</v>
      </c>
      <c r="T84" s="261" t="n">
        <f aca="false">K12</f>
        <v>7</v>
      </c>
      <c r="U84" s="261" t="n">
        <f aca="false">K13</f>
        <v>1</v>
      </c>
      <c r="V84" s="263" t="n">
        <f aca="false">K14</f>
        <v>0</v>
      </c>
      <c r="W84" s="264" t="n">
        <f aca="false">K15</f>
        <v>16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104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105</v>
      </c>
      <c r="R87" s="10"/>
      <c r="S87" s="217" t="n">
        <f aca="false">VLOOKUP(MAX($S$23:$S$82),($S$23:$U$82),1,0)</f>
        <v>36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106</v>
      </c>
      <c r="R88" s="10"/>
      <c r="S88" s="217" t="n">
        <f aca="false">VLOOKUP((S87),($S$23:$U$82),2,0)</f>
        <v>108</v>
      </c>
      <c r="T88" s="10"/>
      <c r="U88" s="10"/>
      <c r="V88" s="10"/>
    </row>
    <row r="89" customFormat="false" ht="12.75" hidden="true" customHeight="false" outlineLevel="0" collapsed="false">
      <c r="Q89" s="10" t="s">
        <v>107</v>
      </c>
      <c r="R89" s="10"/>
      <c r="S89" s="217" t="n">
        <f aca="false">VLOOKUP((S87),($S$23:$U$82),3,0)</f>
        <v>9</v>
      </c>
      <c r="T89" s="10"/>
    </row>
    <row r="90" customFormat="false" ht="12.75" hidden="false" customHeight="false" outlineLevel="0" collapsed="false">
      <c r="Q90" s="10" t="s">
        <v>108</v>
      </c>
      <c r="R90" s="10"/>
      <c r="S90" s="267" t="n">
        <f aca="false">IF(ISERROR(SUM($T$23:$T$82)/SUM($U$23:$U$82)),"",(SUM($T$23:$T$82)-S88)/(SUM($U$23:$U$82)-S89))</f>
        <v>7.28813559322034</v>
      </c>
      <c r="T90" s="10"/>
    </row>
    <row r="91" customFormat="false" ht="12.75" hidden="false" customHeight="false" outlineLevel="0" collapsed="false">
      <c r="Q91" s="216" t="s">
        <v>109</v>
      </c>
      <c r="R91" s="216"/>
      <c r="S91" s="216" t="str">
        <f aca="false">INDEX('[1]liste reference'!$A$8:$A$904,$T$91)</f>
        <v>MYRVER</v>
      </c>
      <c r="T91" s="10" t="n">
        <f aca="false">IF(ISERROR(MATCH($S$93,'[1]liste reference'!$A$8:$A$904,0)),MATCH($S$93,'[1]liste reference'!$B$8:$B$904,0),(MATCH($S$93,'[1]liste reference'!$A$8:$A$904,0)))</f>
        <v>375</v>
      </c>
      <c r="U91" s="256"/>
    </row>
    <row r="92" customFormat="false" ht="12.75" hidden="false" customHeight="false" outlineLevel="0" collapsed="false">
      <c r="Q92" s="10" t="s">
        <v>110</v>
      </c>
      <c r="R92" s="10"/>
      <c r="S92" s="10" t="n">
        <f aca="false">MATCH(S87,$S$23:$S$82,0)</f>
        <v>11</v>
      </c>
      <c r="T92" s="10"/>
    </row>
    <row r="93" customFormat="false" ht="12.75" hidden="false" customHeight="false" outlineLevel="0" collapsed="false">
      <c r="Q93" s="216" t="s">
        <v>111</v>
      </c>
      <c r="R93" s="10"/>
      <c r="S93" s="216" t="str">
        <f aca="false">INDEX($A$23:$A$82,$S$92)</f>
        <v>MYRVER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2014-03-11T11:20:00Z</dcterms:created>
  <dc:creator>Laurent Bourgoin</dc:creator>
  <dc:description/>
  <dc:language>fr-FR</dc:language>
  <cp:lastModifiedBy>Laurent Bourgoin</cp:lastModifiedBy>
  <dcterms:modified xsi:type="dcterms:W3CDTF">2014-03-11T11:20:07Z</dcterms:modified>
  <cp:revision>0</cp:revision>
  <dc:subject/>
  <dc:title/>
</cp:coreProperties>
</file>